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defaultThemeVersion="124226"/>
  <xr:revisionPtr revIDLastSave="0" documentId="13_ncr:1_{E40F3AF3-1A68-4170-81C7-358469EF32C4}" xr6:coauthVersionLast="47" xr6:coauthVersionMax="47" xr10:uidLastSave="{00000000-0000-0000-0000-000000000000}"/>
  <bookViews>
    <workbookView xWindow="-108" yWindow="-108" windowWidth="23256" windowHeight="1245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externalReferences>
    <externalReference r:id="rId31"/>
  </externalReference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4" l="1"/>
  <c r="G69" i="108"/>
  <c r="F69" i="108"/>
  <c r="H69" i="108" s="1"/>
  <c r="G68" i="108"/>
  <c r="F68" i="108"/>
  <c r="H68" i="108" s="1"/>
  <c r="H67" i="108"/>
  <c r="E67" i="108"/>
  <c r="H66" i="108"/>
  <c r="E66" i="108"/>
  <c r="H65" i="108"/>
  <c r="E65" i="108"/>
  <c r="H64" i="108"/>
  <c r="E64" i="108"/>
  <c r="H63" i="108"/>
  <c r="D63" i="108"/>
  <c r="D68" i="108" s="1"/>
  <c r="C63" i="108"/>
  <c r="E63" i="108" s="1"/>
  <c r="H62" i="108"/>
  <c r="E62" i="108"/>
  <c r="H61" i="108"/>
  <c r="E61" i="108"/>
  <c r="H60" i="108"/>
  <c r="E60" i="108"/>
  <c r="H59" i="108"/>
  <c r="D59" i="108"/>
  <c r="C59" i="108"/>
  <c r="E59" i="108" s="1"/>
  <c r="H58" i="108"/>
  <c r="E58" i="108"/>
  <c r="H57" i="108"/>
  <c r="E57" i="108"/>
  <c r="H56" i="108"/>
  <c r="E56" i="108"/>
  <c r="H55" i="108"/>
  <c r="E55" i="108"/>
  <c r="C53" i="108"/>
  <c r="H52" i="108"/>
  <c r="E52" i="108"/>
  <c r="H51" i="108"/>
  <c r="E51" i="108"/>
  <c r="H50" i="108"/>
  <c r="E50" i="108"/>
  <c r="H49" i="108"/>
  <c r="E49" i="108"/>
  <c r="H48" i="108"/>
  <c r="E48" i="108"/>
  <c r="G47" i="108"/>
  <c r="G53" i="108" s="1"/>
  <c r="F47" i="108"/>
  <c r="F53" i="108" s="1"/>
  <c r="H53" i="108" s="1"/>
  <c r="D47" i="108"/>
  <c r="D53" i="108" s="1"/>
  <c r="D69" i="108" s="1"/>
  <c r="C47" i="108"/>
  <c r="H46" i="108"/>
  <c r="E46" i="108"/>
  <c r="H45" i="108"/>
  <c r="E45" i="108"/>
  <c r="H44" i="108"/>
  <c r="E44" i="108"/>
  <c r="H43" i="108"/>
  <c r="E43" i="108"/>
  <c r="H42" i="108"/>
  <c r="E42" i="108"/>
  <c r="H41" i="108"/>
  <c r="G41" i="108"/>
  <c r="F41" i="108"/>
  <c r="D41" i="108"/>
  <c r="C41" i="108"/>
  <c r="E41" i="108" s="1"/>
  <c r="H40" i="108"/>
  <c r="E40" i="108"/>
  <c r="H39" i="108"/>
  <c r="E39" i="108"/>
  <c r="H38" i="108"/>
  <c r="E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H24" i="108" s="1"/>
  <c r="F24" i="108"/>
  <c r="D24" i="108"/>
  <c r="C24" i="108"/>
  <c r="E24" i="108" s="1"/>
  <c r="H23" i="108"/>
  <c r="E23" i="108"/>
  <c r="H22" i="108"/>
  <c r="E22" i="108"/>
  <c r="H21" i="108"/>
  <c r="E21" i="108"/>
  <c r="H20" i="108"/>
  <c r="E20" i="108"/>
  <c r="G19" i="108"/>
  <c r="F19" i="108"/>
  <c r="H19" i="108" s="1"/>
  <c r="D19" i="108"/>
  <c r="C19" i="108"/>
  <c r="E19" i="108" s="1"/>
  <c r="H18" i="108"/>
  <c r="E18" i="108"/>
  <c r="H17" i="108"/>
  <c r="E17" i="108"/>
  <c r="H16" i="108"/>
  <c r="E16" i="108"/>
  <c r="G15" i="108"/>
  <c r="F15" i="108"/>
  <c r="H15" i="108" s="1"/>
  <c r="D15" i="108"/>
  <c r="D36" i="108" s="1"/>
  <c r="C15" i="108"/>
  <c r="C36" i="108" s="1"/>
  <c r="E36" i="108" s="1"/>
  <c r="H14" i="108"/>
  <c r="E14" i="108"/>
  <c r="H13" i="108"/>
  <c r="E13" i="108"/>
  <c r="H12" i="108"/>
  <c r="E12" i="108"/>
  <c r="H11" i="108"/>
  <c r="E11" i="108"/>
  <c r="H10" i="108"/>
  <c r="E10" i="108"/>
  <c r="H9" i="108"/>
  <c r="E9" i="108"/>
  <c r="H8" i="108"/>
  <c r="E8" i="108"/>
  <c r="G7" i="108"/>
  <c r="G36" i="108" s="1"/>
  <c r="F7" i="108"/>
  <c r="F36" i="108" s="1"/>
  <c r="H36" i="108" s="1"/>
  <c r="E7" i="108"/>
  <c r="D7" i="108"/>
  <c r="C7" i="108"/>
  <c r="H44" i="109"/>
  <c r="E44" i="109"/>
  <c r="F43" i="109"/>
  <c r="F45" i="109" s="1"/>
  <c r="H42" i="109"/>
  <c r="E42" i="109"/>
  <c r="H41" i="109"/>
  <c r="E41" i="109"/>
  <c r="H40" i="109"/>
  <c r="E40" i="109"/>
  <c r="H39" i="109"/>
  <c r="E39" i="109"/>
  <c r="H38" i="109"/>
  <c r="E38" i="109"/>
  <c r="G37" i="109"/>
  <c r="H37" i="109" s="1"/>
  <c r="F37" i="109"/>
  <c r="D37" i="109"/>
  <c r="C37" i="109"/>
  <c r="E37" i="109" s="1"/>
  <c r="H36" i="109"/>
  <c r="E36" i="109"/>
  <c r="H35" i="109"/>
  <c r="E35" i="109"/>
  <c r="G34" i="109"/>
  <c r="G43" i="109" s="1"/>
  <c r="G45" i="109" s="1"/>
  <c r="F34" i="109"/>
  <c r="E34" i="109"/>
  <c r="D34" i="109"/>
  <c r="C34" i="109"/>
  <c r="H33" i="109"/>
  <c r="E33" i="109"/>
  <c r="H32" i="109"/>
  <c r="E32" i="109"/>
  <c r="H31" i="109"/>
  <c r="E31" i="109"/>
  <c r="H30" i="109"/>
  <c r="E30" i="109"/>
  <c r="G29" i="109"/>
  <c r="H29" i="109" s="1"/>
  <c r="F29" i="109"/>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D13" i="109"/>
  <c r="C13" i="109"/>
  <c r="E13" i="109" s="1"/>
  <c r="H12" i="109"/>
  <c r="E12" i="109"/>
  <c r="H11" i="109"/>
  <c r="E11" i="109"/>
  <c r="H10" i="109"/>
  <c r="E10" i="109"/>
  <c r="H9" i="109"/>
  <c r="E9" i="109"/>
  <c r="H8" i="109"/>
  <c r="E8" i="109"/>
  <c r="H7" i="109"/>
  <c r="E7" i="109"/>
  <c r="G6" i="109"/>
  <c r="F6" i="109"/>
  <c r="H6" i="109" s="1"/>
  <c r="D6" i="109"/>
  <c r="D43" i="109" s="1"/>
  <c r="D45" i="109" s="1"/>
  <c r="C6" i="109"/>
  <c r="C43" i="109"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D8" i="110"/>
  <c r="C8" i="110"/>
  <c r="E8" i="110" s="1"/>
  <c r="H7" i="110"/>
  <c r="E7" i="110"/>
  <c r="H6" i="110"/>
  <c r="E6" i="110"/>
  <c r="D13" i="86"/>
  <c r="D6" i="86"/>
  <c r="C6" i="86"/>
  <c r="C13" i="86" s="1"/>
  <c r="C8" i="73"/>
  <c r="C13" i="73" s="1"/>
  <c r="E36" i="88"/>
  <c r="E35" i="88"/>
  <c r="E34" i="88"/>
  <c r="E33" i="88"/>
  <c r="E32" i="88"/>
  <c r="E31" i="88"/>
  <c r="D31" i="88"/>
  <c r="C31" i="88"/>
  <c r="E30" i="88"/>
  <c r="E28" i="88" s="1"/>
  <c r="E29" i="88"/>
  <c r="D28" i="88"/>
  <c r="C28" i="88"/>
  <c r="E27" i="88"/>
  <c r="E26" i="88"/>
  <c r="E25" i="88"/>
  <c r="D25" i="88"/>
  <c r="C25" i="88"/>
  <c r="E24" i="88"/>
  <c r="E23" i="88"/>
  <c r="E22" i="88"/>
  <c r="E20" i="88" s="1"/>
  <c r="E21" i="88"/>
  <c r="D20" i="88"/>
  <c r="C20" i="88"/>
  <c r="E19" i="88"/>
  <c r="E18" i="88"/>
  <c r="E17" i="88"/>
  <c r="E16" i="88"/>
  <c r="D16" i="88"/>
  <c r="C16" i="88"/>
  <c r="E15" i="88"/>
  <c r="E14" i="88"/>
  <c r="E13" i="88"/>
  <c r="E12" i="88"/>
  <c r="E11" i="88"/>
  <c r="E10" i="88"/>
  <c r="E9" i="88"/>
  <c r="E8" i="88"/>
  <c r="D8" i="88"/>
  <c r="D37" i="88" s="1"/>
  <c r="C8" i="88"/>
  <c r="C37" i="88" s="1"/>
  <c r="C53" i="89"/>
  <c r="C48" i="89"/>
  <c r="C44" i="89"/>
  <c r="C36" i="89"/>
  <c r="C32" i="89"/>
  <c r="C31" i="89"/>
  <c r="C42" i="89" s="1"/>
  <c r="C12" i="89"/>
  <c r="C6" i="89"/>
  <c r="C29" i="89" s="1"/>
  <c r="C21" i="94"/>
  <c r="C20" i="94"/>
  <c r="C19" i="94"/>
  <c r="C62" i="69"/>
  <c r="C58" i="69"/>
  <c r="C67" i="69" s="1"/>
  <c r="C52" i="69"/>
  <c r="C68" i="69" s="1"/>
  <c r="C46" i="69"/>
  <c r="C40" i="69"/>
  <c r="C29" i="69"/>
  <c r="C26" i="69"/>
  <c r="C23" i="69"/>
  <c r="C18" i="69"/>
  <c r="C35" i="69" s="1"/>
  <c r="C14" i="69"/>
  <c r="C6" i="69"/>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S22" i="90" s="1"/>
  <c r="H22" i="91"/>
  <c r="G22" i="91"/>
  <c r="F22" i="91"/>
  <c r="E22" i="91"/>
  <c r="D22" i="91"/>
  <c r="C22" i="91"/>
  <c r="H21" i="91"/>
  <c r="H20" i="91"/>
  <c r="H19" i="91"/>
  <c r="H18" i="91"/>
  <c r="H17" i="91"/>
  <c r="H16" i="91"/>
  <c r="H15" i="91"/>
  <c r="H14" i="91"/>
  <c r="H13" i="91"/>
  <c r="H12" i="91"/>
  <c r="H11" i="91"/>
  <c r="H10" i="91"/>
  <c r="H9" i="91"/>
  <c r="H8" i="91"/>
  <c r="J23" i="93"/>
  <c r="K23" i="93" s="1"/>
  <c r="K25" i="93" s="1"/>
  <c r="I23" i="93"/>
  <c r="I25" i="93" s="1"/>
  <c r="G23" i="93"/>
  <c r="G25" i="93" s="1"/>
  <c r="F23" i="93"/>
  <c r="H23" i="93" s="1"/>
  <c r="J21" i="93"/>
  <c r="I21" i="93"/>
  <c r="I24" i="93" s="1"/>
  <c r="G21" i="93"/>
  <c r="G24" i="93" s="1"/>
  <c r="F21" i="93"/>
  <c r="F24" i="93" s="1"/>
  <c r="D21" i="93"/>
  <c r="C21" i="93"/>
  <c r="K20" i="93"/>
  <c r="H20" i="93"/>
  <c r="E20" i="93"/>
  <c r="K19" i="93"/>
  <c r="H19" i="93"/>
  <c r="E19" i="93"/>
  <c r="K18" i="93"/>
  <c r="K21" i="93" s="1"/>
  <c r="H18" i="93"/>
  <c r="H21" i="93" s="1"/>
  <c r="E18" i="93"/>
  <c r="E21" i="93" s="1"/>
  <c r="J16" i="93"/>
  <c r="J24" i="93" s="1"/>
  <c r="J25" i="93" s="1"/>
  <c r="I16" i="93"/>
  <c r="G16" i="93"/>
  <c r="F16" i="93"/>
  <c r="D16" i="93"/>
  <c r="C16" i="93"/>
  <c r="K15" i="93"/>
  <c r="H15" i="93"/>
  <c r="E15" i="93"/>
  <c r="K14" i="93"/>
  <c r="H14" i="93"/>
  <c r="E14" i="93"/>
  <c r="K13" i="93"/>
  <c r="H13" i="93"/>
  <c r="E13" i="93"/>
  <c r="K12" i="93"/>
  <c r="H12" i="93"/>
  <c r="E12" i="93"/>
  <c r="K11" i="93"/>
  <c r="H11" i="93"/>
  <c r="E11" i="93"/>
  <c r="E16" i="93" s="1"/>
  <c r="K10" i="93"/>
  <c r="K16" i="93" s="1"/>
  <c r="K24" i="93" s="1"/>
  <c r="H10" i="93"/>
  <c r="H16" i="93" s="1"/>
  <c r="H24" i="93" s="1"/>
  <c r="E10" i="93"/>
  <c r="K8" i="93"/>
  <c r="H8" i="93"/>
  <c r="Q19" i="92"/>
  <c r="I19" i="92"/>
  <c r="C26" i="95"/>
  <c r="C22" i="95"/>
  <c r="C14" i="95"/>
  <c r="C8" i="95"/>
  <c r="C32" i="95" s="1"/>
  <c r="C34" i="95" s="1"/>
  <c r="G37" i="97"/>
  <c r="G21" i="97"/>
  <c r="G39" i="97" s="1"/>
  <c r="G22" i="111"/>
  <c r="F22" i="111"/>
  <c r="E22" i="111"/>
  <c r="D22" i="111"/>
  <c r="C22" i="111"/>
  <c r="H21" i="111"/>
  <c r="H20" i="111"/>
  <c r="H19" i="111"/>
  <c r="H18" i="111"/>
  <c r="H22" i="111" s="1"/>
  <c r="H17" i="111"/>
  <c r="H16" i="111"/>
  <c r="H15" i="111"/>
  <c r="H14" i="111"/>
  <c r="H13" i="111"/>
  <c r="H12" i="111"/>
  <c r="H11" i="111"/>
  <c r="H10" i="111"/>
  <c r="H9" i="111"/>
  <c r="H8" i="111"/>
  <c r="H23" i="112"/>
  <c r="H22" i="112"/>
  <c r="G21" i="112"/>
  <c r="F21" i="112"/>
  <c r="E21" i="112"/>
  <c r="D21" i="112"/>
  <c r="C21" i="112"/>
  <c r="H20" i="112"/>
  <c r="H19" i="112"/>
  <c r="H18" i="112"/>
  <c r="H17" i="112"/>
  <c r="H16" i="112"/>
  <c r="H15" i="112"/>
  <c r="H14" i="112"/>
  <c r="H13" i="112"/>
  <c r="H12" i="112"/>
  <c r="H11" i="112"/>
  <c r="H10" i="112"/>
  <c r="H9" i="112"/>
  <c r="H8" i="112"/>
  <c r="H7" i="112"/>
  <c r="H21" i="112" s="1"/>
  <c r="H34" i="113"/>
  <c r="G34" i="113"/>
  <c r="F34" i="113"/>
  <c r="E34" i="113"/>
  <c r="D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C10" i="114"/>
  <c r="D7" i="114"/>
  <c r="D15" i="114" s="1"/>
  <c r="C7" i="114"/>
  <c r="C15" i="114" s="1"/>
  <c r="C10" i="115"/>
  <c r="C18" i="115" s="1"/>
  <c r="C28" i="116"/>
  <c r="C22" i="116" s="1"/>
  <c r="C27" i="116"/>
  <c r="C26" i="116"/>
  <c r="C25" i="116"/>
  <c r="C24" i="116"/>
  <c r="C23" i="116"/>
  <c r="T22" i="116"/>
  <c r="L22" i="116"/>
  <c r="H22" i="116"/>
  <c r="D22" i="116"/>
  <c r="C21" i="116"/>
  <c r="C20" i="116"/>
  <c r="C15" i="116" s="1"/>
  <c r="C19" i="116"/>
  <c r="C18" i="116"/>
  <c r="C17" i="116"/>
  <c r="C16"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4" i="116"/>
  <c r="C13" i="116"/>
  <c r="C12" i="116"/>
  <c r="C11" i="116"/>
  <c r="C10" i="116"/>
  <c r="C9"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C10" i="117" s="1"/>
  <c r="K10" i="117"/>
  <c r="J10" i="117"/>
  <c r="I10" i="117"/>
  <c r="H10" i="117"/>
  <c r="G10" i="117"/>
  <c r="F10" i="117"/>
  <c r="E10" i="117"/>
  <c r="D10" i="117"/>
  <c r="C9" i="117"/>
  <c r="O8" i="117"/>
  <c r="N8" i="117"/>
  <c r="M8" i="117"/>
  <c r="L8" i="117"/>
  <c r="K8" i="117"/>
  <c r="J8" i="117"/>
  <c r="I8" i="117"/>
  <c r="H8" i="117"/>
  <c r="G8" i="117"/>
  <c r="F8" i="117"/>
  <c r="E8" i="117"/>
  <c r="D8" i="117"/>
  <c r="C8" i="117"/>
  <c r="B1" i="124"/>
  <c r="B2" i="124"/>
  <c r="C7" i="124"/>
  <c r="H7" i="124"/>
  <c r="C8" i="124"/>
  <c r="H8" i="124"/>
  <c r="C9" i="124"/>
  <c r="H9" i="124"/>
  <c r="C10" i="124"/>
  <c r="C33" i="124" s="1"/>
  <c r="H10" i="124"/>
  <c r="C11" i="124"/>
  <c r="H11" i="124"/>
  <c r="C12" i="124"/>
  <c r="H12" i="124"/>
  <c r="H33" i="124" s="1"/>
  <c r="C13" i="124"/>
  <c r="H13" i="124"/>
  <c r="C14" i="124"/>
  <c r="H14" i="124"/>
  <c r="C15" i="124"/>
  <c r="H15" i="124"/>
  <c r="C16" i="124"/>
  <c r="H16" i="124"/>
  <c r="C17" i="124"/>
  <c r="H17" i="124"/>
  <c r="C18" i="124"/>
  <c r="H18" i="124"/>
  <c r="C19" i="124"/>
  <c r="H19" i="124"/>
  <c r="C20" i="124"/>
  <c r="H20" i="124"/>
  <c r="C21" i="124"/>
  <c r="H21" i="124"/>
  <c r="C22" i="124"/>
  <c r="H22" i="124"/>
  <c r="C23" i="124"/>
  <c r="H23" i="124"/>
  <c r="C24" i="124"/>
  <c r="H24" i="124"/>
  <c r="C25" i="124"/>
  <c r="H25" i="124"/>
  <c r="C26" i="124"/>
  <c r="H26" i="124"/>
  <c r="C27" i="124"/>
  <c r="H27" i="124"/>
  <c r="C28" i="124"/>
  <c r="H28" i="124"/>
  <c r="C29" i="124"/>
  <c r="H29" i="124"/>
  <c r="C30" i="124"/>
  <c r="H30" i="124"/>
  <c r="C31" i="124"/>
  <c r="H31" i="124"/>
  <c r="C32" i="124"/>
  <c r="H32" i="124"/>
  <c r="D33" i="124"/>
  <c r="E33" i="124"/>
  <c r="F33" i="124"/>
  <c r="G33" i="124"/>
  <c r="I33" i="124"/>
  <c r="J33" i="124"/>
  <c r="K33" i="124"/>
  <c r="L33" i="124"/>
  <c r="M20" i="120"/>
  <c r="H20" i="120"/>
  <c r="C20" i="120"/>
  <c r="P19" i="120"/>
  <c r="O19" i="120"/>
  <c r="N19" i="120"/>
  <c r="L19" i="120"/>
  <c r="K19" i="120"/>
  <c r="J19" i="120"/>
  <c r="D19" i="120"/>
  <c r="M18" i="120"/>
  <c r="H18" i="120"/>
  <c r="C18" i="120"/>
  <c r="M17" i="120"/>
  <c r="H17" i="120"/>
  <c r="C17" i="120"/>
  <c r="M16" i="120"/>
  <c r="H16" i="120"/>
  <c r="C16" i="120"/>
  <c r="M15" i="120"/>
  <c r="H15" i="120"/>
  <c r="C15" i="120"/>
  <c r="M14" i="120"/>
  <c r="M13" i="120" s="1"/>
  <c r="H14" i="120"/>
  <c r="C14" i="120"/>
  <c r="C13" i="120" s="1"/>
  <c r="R13" i="120"/>
  <c r="R19" i="120" s="1"/>
  <c r="Q13" i="120"/>
  <c r="Q19" i="120" s="1"/>
  <c r="P13" i="120"/>
  <c r="O13" i="120"/>
  <c r="N13" i="120"/>
  <c r="L13" i="120"/>
  <c r="K13" i="120"/>
  <c r="J13" i="120"/>
  <c r="I13" i="120"/>
  <c r="I19" i="120" s="1"/>
  <c r="H13" i="120"/>
  <c r="G13" i="120"/>
  <c r="G19" i="120" s="1"/>
  <c r="F13" i="120"/>
  <c r="F19" i="120" s="1"/>
  <c r="E13" i="120"/>
  <c r="E19" i="120" s="1"/>
  <c r="D13" i="120"/>
  <c r="M12" i="120"/>
  <c r="H12" i="120"/>
  <c r="C12" i="120"/>
  <c r="M11" i="120"/>
  <c r="H11" i="120"/>
  <c r="C11" i="120"/>
  <c r="M10" i="120"/>
  <c r="H10" i="120"/>
  <c r="C10" i="120"/>
  <c r="M9" i="120"/>
  <c r="M19" i="120" s="1"/>
  <c r="H9" i="120"/>
  <c r="C9" i="120"/>
  <c r="M8" i="120"/>
  <c r="H8" i="120"/>
  <c r="C8" i="120"/>
  <c r="M7" i="120"/>
  <c r="H7" i="120"/>
  <c r="H19" i="120" s="1"/>
  <c r="C7" i="120"/>
  <c r="E47" i="108" l="1"/>
  <c r="C68" i="108"/>
  <c r="E68" i="108" s="1"/>
  <c r="H47" i="108"/>
  <c r="E53" i="108"/>
  <c r="H7" i="108"/>
  <c r="E15" i="108"/>
  <c r="H45" i="109"/>
  <c r="E43" i="109"/>
  <c r="C45" i="109"/>
  <c r="E45" i="109" s="1"/>
  <c r="H43" i="109"/>
  <c r="E6" i="109"/>
  <c r="H34" i="109"/>
  <c r="C14" i="110"/>
  <c r="E14" i="110" s="1"/>
  <c r="E37" i="88"/>
  <c r="H25" i="93"/>
  <c r="F25" i="93"/>
  <c r="C19" i="120"/>
  <c r="C69" i="108" l="1"/>
  <c r="E69" i="108" s="1"/>
  <c r="C5" i="73" l="1"/>
  <c r="Q33" i="92" l="1"/>
  <c r="I33" i="92"/>
  <c r="Q32" i="92"/>
  <c r="I32" i="92"/>
  <c r="Q31" i="92"/>
  <c r="I31" i="92"/>
  <c r="Q30" i="92"/>
  <c r="I30" i="92"/>
  <c r="Q29" i="92"/>
  <c r="I29" i="92"/>
  <c r="Q28" i="92"/>
  <c r="I28" i="92"/>
  <c r="Q27" i="92"/>
  <c r="Q26" i="92" s="1"/>
  <c r="I27" i="92"/>
  <c r="I26" i="92"/>
  <c r="Q25" i="92"/>
  <c r="I25" i="92"/>
  <c r="Q24" i="92"/>
  <c r="I24" i="92"/>
  <c r="Q23" i="92"/>
  <c r="Q22" i="92" s="1"/>
  <c r="I23" i="92"/>
  <c r="I22" i="92"/>
  <c r="Q21" i="92"/>
  <c r="I21" i="92"/>
  <c r="Q20" i="92"/>
  <c r="I20" i="92"/>
  <c r="Q18" i="92"/>
  <c r="I18" i="92"/>
  <c r="Q17" i="92"/>
  <c r="Q14" i="92" s="1"/>
  <c r="I17" i="92"/>
  <c r="Q16" i="92"/>
  <c r="I16" i="92"/>
  <c r="Q15" i="92"/>
  <c r="I15" i="92"/>
  <c r="I14" i="92"/>
  <c r="Q13" i="92"/>
  <c r="Q9" i="92" s="1"/>
  <c r="I13" i="92"/>
  <c r="Q12" i="92"/>
  <c r="Q8" i="92" s="1"/>
  <c r="I12" i="92"/>
  <c r="Q11" i="92"/>
  <c r="Q10" i="92" s="1"/>
  <c r="I11" i="92"/>
  <c r="I10" i="92"/>
  <c r="P9" i="92"/>
  <c r="O9" i="92"/>
  <c r="N9" i="92"/>
  <c r="M9" i="92"/>
  <c r="L9" i="92"/>
  <c r="K9" i="92"/>
  <c r="J9" i="92"/>
  <c r="G9" i="92"/>
  <c r="I9" i="92" s="1"/>
  <c r="F9" i="92"/>
  <c r="E9" i="92"/>
  <c r="D9" i="92"/>
  <c r="C9" i="92"/>
  <c r="P8" i="92"/>
  <c r="O8" i="92"/>
  <c r="N8" i="92"/>
  <c r="M8" i="92"/>
  <c r="L8" i="92"/>
  <c r="K8" i="92"/>
  <c r="J8" i="92"/>
  <c r="G8" i="92"/>
  <c r="F8" i="92"/>
  <c r="I8" i="92" s="1"/>
  <c r="E8" i="92"/>
  <c r="D8" i="92"/>
  <c r="C8" i="92"/>
  <c r="P7" i="92"/>
  <c r="O7" i="92"/>
  <c r="N7" i="92"/>
  <c r="N6" i="92" s="1"/>
  <c r="N34" i="92" s="1"/>
  <c r="M7" i="92"/>
  <c r="M6" i="92" s="1"/>
  <c r="M34" i="92" s="1"/>
  <c r="L7" i="92"/>
  <c r="L6" i="92" s="1"/>
  <c r="L34" i="92" s="1"/>
  <c r="K7" i="92"/>
  <c r="J7" i="92"/>
  <c r="J6" i="92" s="1"/>
  <c r="J34" i="92" s="1"/>
  <c r="G7" i="92"/>
  <c r="G6" i="92" s="1"/>
  <c r="G34" i="92" s="1"/>
  <c r="F7" i="92"/>
  <c r="I7" i="92" s="1"/>
  <c r="I6" i="92" s="1"/>
  <c r="E7" i="92"/>
  <c r="E6" i="92" s="1"/>
  <c r="E34" i="92" s="1"/>
  <c r="D7" i="92"/>
  <c r="D6" i="92" s="1"/>
  <c r="D34" i="92" s="1"/>
  <c r="C7" i="92"/>
  <c r="C6" i="92" s="1"/>
  <c r="C34" i="92" s="1"/>
  <c r="P6" i="92"/>
  <c r="P34" i="92" s="1"/>
  <c r="O6" i="92"/>
  <c r="O34" i="92" s="1"/>
  <c r="F6" i="123"/>
  <c r="E6" i="123"/>
  <c r="D6" i="123"/>
  <c r="C6" i="123"/>
  <c r="K6" i="92" l="1"/>
  <c r="K34" i="92" s="1"/>
  <c r="F6" i="92"/>
  <c r="F34" i="92" s="1"/>
  <c r="I34" i="92" s="1"/>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E6" i="86" l="1"/>
  <c r="E13" i="86" s="1"/>
  <c r="F6" i="86"/>
  <c r="F13" i="86" s="1"/>
  <c r="G6" i="86"/>
  <c r="G13" i="86" s="1"/>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<sst xmlns="http://schemas.openxmlformats.org/spreadsheetml/2006/main" count="1214" uniqueCount="758">
  <si>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</si>
  <si>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</si>
  <si>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</si>
  <si>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</si>
  <si>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</si>
  <si>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</si>
  <si>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</si>
  <si>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</si>
  <si>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</si>
  <si>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</si>
  <si>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</si>
  <si>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</si>
  <si>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</si>
  <si>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</si>
  <si>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</si>
  <si>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</si>
  <si>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</si>
  <si>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</si>
  <si>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</si>
  <si>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</si>
  <si>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</si>
  <si>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</si>
  <si>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</si>
  <si>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</si>
  <si>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</si>
  <si>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</si>
  <si>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</si>
  <si>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</si>
  <si>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</si>
  <si>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</si>
  <si>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</si>
  <si>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</si>
  <si>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</si>
  <si>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</si>
  <si>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</si>
  <si>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</si>
  <si>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</si>
  <si>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</si>
  <si>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</si>
  <si>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</si>
  <si>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</si>
  <si>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</si>
  <si>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</si>
  <si>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</si>
  <si>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</si>
  <si>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</si>
  <si>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</si>
  <si>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</si>
  <si>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</si>
  <si>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</si>
  <si>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</si>
  <si>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</si>
  <si>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</si>
  <si>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</si>
  <si>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</si>
  <si>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</si>
  <si>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</si>
  <si>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</si>
  <si>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</si>
  <si>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</si>
  <si>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</si>
  <si>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</si>
  <si>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</si>
  <si>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</si>
  <si>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</si>
  <si>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</si>
  <si>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</si>
  <si>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</si>
  <si>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</si>
  <si>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</si>
  <si>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</si>
  <si>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</si>
  <si>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</si>
  <si>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</si>
  <si>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</si>
  <si>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</si>
  <si>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</si>
  <si>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</si>
  <si>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</si>
  <si>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</si>
  <si>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</si>
  <si>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</si>
  <si>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</si>
  <si>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</si>
  <si>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</si>
  <si>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</si>
  <si>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</si>
  <si>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</si>
  <si>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</si>
  <si>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</si>
  <si>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</si>
  <si>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</si>
  <si>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</si>
  <si>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</si>
  <si>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</si>
  <si>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</si>
  <si>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</si>
  <si>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</si>
  <si>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</si>
  <si>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</si>
  <si>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</si>
  <si>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</si>
  <si>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</si>
  <si>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</si>
  <si>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</si>
  <si>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</si>
  <si>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</si>
  <si>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</si>
  <si>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</si>
  <si>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</si>
  <si>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</si>
  <si>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</si>
  <si>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</si>
  <si>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</si>
  <si>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</si>
  <si>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</si>
  <si>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</si>
  <si>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</si>
  <si>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</si>
  <si>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</si>
  <si>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</si>
  <si>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</si>
  <si>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</si>
  <si>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</si>
  <si>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</si>
  <si>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</si>
  <si>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</si>
  <si>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</si>
  <si>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</si>
  <si>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</si>
  <si>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</si>
  <si>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</si>
  <si>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</si>
  <si>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</si>
  <si>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</si>
  <si>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</si>
  <si>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</si>
  <si>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</si>
  <si>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</si>
  <si>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</si>
  <si>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</si>
  <si>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</si>
  <si>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</si>
  <si>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</si>
  <si>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</si>
  <si>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</si>
  <si>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</si>
  <si>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</si>
  <si>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</si>
  <si>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</si>
  <si>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</si>
  <si>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</si>
  <si>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</si>
  <si>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</si>
  <si>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</si>
  <si>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</si>
  <si>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</si>
  <si>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</si>
  <si>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</si>
  <si>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</si>
  <si>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</si>
  <si>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</si>
  <si>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</si>
  <si>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</si>
  <si>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</si>
  <si>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</si>
  <si>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</si>
  <si>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</si>
  <si>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</si>
  <si>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</si>
  <si>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</si>
  <si>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</si>
  <si>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</si>
  <si>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</si>
  <si>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</si>
  <si>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</si>
  <si>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</si>
  <si>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</si>
  <si>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</si>
  <si>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</si>
  <si>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</si>
  <si>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</si>
  <si>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</si>
  <si>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</si>
  <si>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</si>
  <si>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</si>
  <si>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</si>
  <si>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</si>
  <si>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</si>
  <si>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</si>
  <si>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</si>
  <si>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</si>
  <si>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</si>
  <si>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</si>
  <si>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</si>
  <si>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</si>
  <si>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</si>
  <si>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</si>
  <si>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</si>
  <si>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</si>
  <si>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</si>
  <si>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</si>
  <si>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</si>
  <si>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</si>
  <si>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</si>
  <si>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</si>
  <si>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</si>
  <si>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</si>
  <si>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</si>
  <si>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</si>
  <si>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</si>
  <si>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</si>
  <si>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</si>
  <si>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</si>
  <si>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</si>
  <si>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</si>
  <si>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</si>
  <si>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</si>
  <si>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</si>
  <si>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</si>
  <si>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</si>
  <si>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</si>
  <si>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</si>
  <si>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</si>
  <si>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</si>
  <si>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</si>
  <si>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</si>
  <si>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</si>
  <si>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</si>
  <si>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</si>
  <si>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</si>
  <si>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</si>
  <si>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</si>
  <si>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</si>
  <si>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</si>
  <si>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</si>
  <si>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</si>
  <si>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</si>
  <si>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</si>
  <si>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</si>
  <si>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</si>
  <si>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</si>
  <si>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</si>
  <si>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</si>
  <si>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</si>
  <si>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</si>
  <si>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</si>
  <si>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</si>
  <si>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</si>
  <si>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</si>
  <si>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</si>
  <si>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</si>
  <si>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</si>
  <si>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</si>
  <si>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</si>
  <si>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</si>
  <si>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</si>
  <si>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</si>
  <si>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</si>
  <si>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</si>
  <si>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</si>
  <si>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</si>
  <si>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</si>
  <si>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</si>
  <si>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</si>
  <si>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</si>
  <si>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</si>
  <si>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</si>
  <si>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</si>
  <si>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</si>
  <si>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</si>
  <si>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</si>
  <si>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</si>
  <si>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</si>
  <si>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</si>
  <si>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</si>
  <si>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</si>
  <si>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</si>
  <si>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</si>
  <si>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</si>
  <si>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</si>
  <si>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</si>
  <si>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</si>
  <si>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</si>
  <si>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</si>
  <si>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</si>
  <si>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</si>
  <si>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</si>
  <si>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</si>
  <si>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</si>
  <si>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</si>
  <si>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</si>
  <si>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</si>
  <si>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</si>
  <si>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</si>
  <si>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</si>
  <si>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</si>
  <si>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</si>
  <si>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</si>
  <si>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</si>
  <si>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</si>
  <si>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</si>
  <si>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</si>
  <si>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</si>
  <si>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</si>
  <si>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</si>
  <si>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</si>
  <si>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</si>
  <si>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</si>
  <si>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</si>
  <si>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</si>
  <si>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</si>
  <si>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</si>
  <si>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</si>
  <si>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</si>
  <si>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</si>
  <si>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</si>
  <si>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</si>
  <si>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</si>
  <si>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</si>
  <si>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</si>
  <si>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</si>
  <si>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</si>
  <si>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</si>
  <si>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</si>
  <si>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</si>
  <si>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</si>
  <si>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</si>
  <si>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</si>
  <si>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</si>
  <si>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</si>
  <si>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</si>
  <si>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</si>
  <si>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</si>
  <si>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</si>
  <si>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</si>
  <si>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</si>
  <si>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</si>
  <si>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</si>
  <si>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</si>
  <si>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</si>
  <si>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</si>
  <si>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</si>
  <si>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</si>
  <si>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</si>
  <si>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</si>
  <si>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</si>
  <si>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</si>
  <si>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</si>
  <si>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</si>
  <si>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</si>
  <si>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</si>
  <si>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</si>
  <si>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</si>
  <si>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</si>
  <si>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</si>
  <si>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</si>
  <si>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</si>
  <si>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</si>
  <si>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</si>
  <si>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</si>
  <si>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</si>
  <si>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</si>
  <si>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</si>
  <si>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</si>
  <si>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</si>
  <si>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</si>
  <si>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</si>
  <si>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</si>
  <si>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</si>
  <si>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</si>
  <si>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</si>
  <si>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</si>
  <si>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</si>
  <si>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</si>
  <si>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</si>
  <si>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</si>
  <si>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</si>
  <si>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</si>
  <si>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</si>
  <si>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</si>
  <si>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</si>
  <si>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</si>
  <si>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</si>
  <si>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</si>
  <si>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</si>
  <si>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</si>
  <si>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</si>
  <si>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</si>
  <si>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</si>
  <si>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</si>
  <si>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</si>
  <si>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</si>
  <si>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</si>
  <si>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</si>
  <si>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</si>
  <si>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</si>
  <si>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</si>
  <si>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</si>
  <si>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</si>
  <si>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</si>
  <si>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</si>
  <si>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</si>
  <si>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</si>
  <si>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</si>
  <si>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</si>
  <si>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</si>
  <si>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</si>
  <si>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</si>
  <si>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</si>
  <si>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</si>
  <si>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</si>
  <si>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</si>
  <si>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</si>
  <si>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</si>
  <si>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</si>
  <si>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</si>
  <si>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</si>
  <si>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</si>
  <si>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</si>
  <si>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</si>
  <si>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</si>
  <si>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</si>
  <si>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</si>
  <si>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</si>
  <si>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</si>
  <si>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</si>
  <si>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</si>
  <si>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</si>
  <si>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</si>
  <si>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</si>
  <si>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</si>
  <si>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</si>
  <si>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</si>
  <si>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</si>
  <si>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</si>
  <si>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</si>
  <si>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</si>
  <si>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</si>
  <si>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</si>
  <si>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</si>
  <si>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</si>
  <si>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</si>
  <si>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</si>
  <si>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</si>
  <si>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</si>
  <si>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</si>
  <si>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</si>
  <si>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</si>
  <si>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</si>
  <si>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</si>
  <si>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</si>
  <si>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</si>
  <si>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</si>
  <si>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</si>
  <si>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</si>
  <si>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</si>
  <si>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</si>
  <si>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</si>
  <si>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</si>
  <si>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</si>
  <si>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</si>
  <si>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</si>
  <si>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</si>
  <si>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</si>
  <si>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</si>
  <si>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</si>
  <si>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</si>
  <si>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</si>
  <si>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</si>
  <si>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</si>
  <si>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</si>
  <si>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</si>
  <si>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</si>
  <si>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</si>
  <si>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</si>
  <si>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</si>
  <si>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</si>
  <si>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</si>
  <si>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</si>
  <si>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</si>
  <si>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</si>
  <si>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</si>
  <si>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</si>
  <si>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</si>
  <si>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</si>
  <si>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</si>
  <si>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</si>
  <si>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</si>
  <si>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</si>
  <si>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</si>
  <si>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</si>
  <si>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</si>
  <si>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</si>
  <si>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</si>
  <si>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</si>
  <si>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</si>
  <si>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</si>
  <si>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</si>
  <si>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</si>
  <si>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</si>
  <si>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</si>
  <si>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</si>
  <si>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</si>
  <si>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</si>
  <si>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</si>
  <si>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</si>
  <si>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</si>
  <si>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</si>
  <si>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</si>
  <si>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</si>
  <si>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</si>
  <si>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</si>
  <si>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</si>
  <si>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</si>
  <si>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</si>
  <si>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</si>
  <si>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</si>
  <si>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</si>
  <si>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</si>
  <si>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</si>
  <si>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</si>
  <si>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</si>
  <si>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</si>
  <si>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</si>
  <si>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</si>
  <si>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</si>
  <si>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</si>
  <si>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</si>
  <si>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</si>
  <si>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</si>
  <si>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</si>
  <si>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</si>
  <si>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</si>
  <si>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</si>
  <si>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</si>
  <si>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</si>
  <si>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</si>
  <si>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</si>
  <si>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</si>
  <si>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</si>
  <si>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</si>
  <si>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</si>
  <si>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</si>
  <si>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</si>
  <si>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</si>
  <si>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</si>
  <si>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</si>
  <si>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</si>
  <si>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</si>
  <si>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</si>
  <si>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</si>
  <si>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</si>
  <si>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</si>
  <si>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</si>
  <si>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</si>
  <si>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</si>
  <si>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</si>
  <si>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</si>
  <si>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</si>
  <si>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</si>
  <si>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</si>
  <si>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</si>
  <si>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</si>
  <si>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</si>
  <si>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</si>
  <si>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</si>
  <si>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</si>
  <si>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</si>
  <si>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</si>
  <si>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</si>
  <si>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</si>
  <si>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</si>
  <si>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</si>
  <si>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</si>
  <si>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</si>
  <si>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</si>
  <si>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</si>
  <si>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</si>
  <si>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</si>
  <si>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</si>
  <si>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</si>
  <si>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</si>
  <si>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</si>
  <si>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</si>
  <si>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</si>
  <si>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</si>
  <si>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</si>
  <si>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</si>
  <si>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</si>
  <si>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</si>
  <si>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</si>
  <si>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</si>
  <si>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</si>
  <si>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</si>
  <si>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</si>
  <si>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</si>
  <si>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</si>
  <si>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</si>
  <si>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</si>
  <si>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</si>
  <si>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</si>
  <si>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</si>
  <si>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</si>
  <si>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</si>
  <si>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</si>
  <si>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</si>
  <si>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</si>
  <si>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</si>
  <si>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</si>
  <si>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</si>
  <si>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</si>
  <si>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</si>
  <si>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</si>
  <si>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</si>
  <si>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</si>
  <si>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</si>
  <si>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</si>
  <si>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</si>
  <si>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</si>
  <si>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</si>
  <si>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</si>
  <si>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</si>
  <si>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</si>
  <si>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</si>
  <si>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</si>
  <si>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</si>
  <si>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</si>
  <si>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</si>
  <si>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</si>
  <si>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</si>
  <si>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</si>
  <si>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</si>
  <si>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</si>
  <si>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</si>
  <si>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</si>
  <si>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</si>
  <si>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</si>
  <si>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</si>
  <si>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</si>
  <si>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</si>
  <si>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</si>
  <si>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</si>
  <si>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</si>
  <si>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</si>
  <si>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</si>
  <si>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</si>
  <si>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</si>
  <si>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</si>
  <si>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</si>
  <si>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</si>
  <si>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</si>
  <si>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</si>
  <si>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</si>
  <si>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</si>
  <si>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</si>
  <si>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</si>
  <si>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</si>
  <si>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</si>
  <si>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</si>
  <si>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</si>
  <si>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</si>
  <si>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</si>
  <si>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</si>
  <si>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</si>
  <si>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</si>
  <si>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</si>
  <si>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</si>
  <si>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</si>
  <si>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</si>
  <si>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</si>
  <si>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</si>
  <si>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</si>
  <si>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</si>
  <si>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</si>
  <si>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</si>
  <si>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</si>
  <si>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</si>
  <si>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</si>
  <si>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</si>
  <si>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</si>
  <si>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</si>
  <si>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</si>
  <si>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</si>
  <si>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</si>
  <si>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</si>
  <si>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</si>
  <si>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</si>
  <si>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</si>
  <si>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</si>
  <si>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</si>
  <si>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</si>
  <si>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</si>
  <si>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</si>
  <si>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</si>
  <si>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</si>
  <si>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</si>
  <si>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</si>
  <si>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</si>
  <si>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</si>
  <si>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</si>
  <si>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</si>
  <si>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</si>
  <si>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</si>
  <si>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</si>
  <si>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</si>
  <si>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</si>
  <si>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</si>
  <si>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</si>
  <si>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</si>
  <si>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</si>
  <si>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</si>
  <si>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</si>
  <si>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</si>
  <si>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</si>
  <si>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</si>
  <si>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</si>
  <si>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</si>
  <si>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</si>
  <si>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</si>
  <si>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</si>
  <si>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Non-independent chair</t>
  </si>
  <si>
    <t>Independent member</t>
  </si>
  <si>
    <t>Non-independent member</t>
  </si>
  <si>
    <t>General Director</t>
  </si>
  <si>
    <t>Commercial Director</t>
  </si>
  <si>
    <t>Leasing Director</t>
  </si>
  <si>
    <t>Risk Director</t>
  </si>
  <si>
    <t>George Arveladze</t>
  </si>
  <si>
    <t xml:space="preserve">Barbara Wasmus-Sajet </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</si>
  <si>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</si>
  <si>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</si>
  <si>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</si>
  <si>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</si>
  <si>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</si>
  <si>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</si>
  <si>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</si>
  <si>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</si>
  <si>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</si>
  <si>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</si>
  <si>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</si>
  <si>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</si>
  <si>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</si>
  <si>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</si>
  <si>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</si>
  <si>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</si>
  <si>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</si>
  <si>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</si>
  <si>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</si>
  <si>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</si>
  <si>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</si>
  <si>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</si>
  <si>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</si>
  <si>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</si>
  <si>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</si>
  <si>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</si>
  <si>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TOTAL EQUITY*</t>
  </si>
  <si>
    <t xml:space="preserve">*Share capital as defined by the Law on Microbank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</si>
</sst>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_(* #,##0.0_);_(* \(#,##0.0\);_(* &quot;-&quot;??_);_(@_)"/>
  </numFmts>
  <fonts count="346">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0" fillId="0" borderId="0"/>
    <xf numFmtId="0" fontId="121"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4" applyFont="0" applyBorder="0">
      <alignment horizontal="center" wrapText="1"/>
    </xf>
    <xf numFmtId="3" fontId="2" fillId="74" borderId="11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2" fillId="0" borderId="0" applyFont="0" applyFill="0" applyBorder="0" applyAlignment="0" applyProtection="0"/>
    <xf numFmtId="8" fontId="123" fillId="0" borderId="0" applyFont="0" applyFill="0" applyBorder="0" applyAlignment="0" applyProtection="0"/>
    <xf numFmtId="8" fontId="123" fillId="0" borderId="0" applyFont="0" applyFill="0" applyBorder="0" applyAlignment="0" applyProtection="0"/>
    <xf numFmtId="201"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202" fontId="122" fillId="0" borderId="0" applyFont="0" applyFill="0" applyBorder="0" applyAlignment="0" applyProtection="0"/>
    <xf numFmtId="202" fontId="122" fillId="0" borderId="0" applyFont="0" applyFill="0" applyBorder="0" applyAlignment="0" applyProtection="0"/>
    <xf numFmtId="7" fontId="122" fillId="0" borderId="0" applyFont="0" applyFill="0" applyBorder="0" applyAlignment="0" applyProtection="0"/>
    <xf numFmtId="7" fontId="122" fillId="0" borderId="0" applyFont="0" applyFill="0" applyBorder="0" applyAlignment="0" applyProtection="0"/>
    <xf numFmtId="203" fontId="122" fillId="0" borderId="0" applyFont="0" applyFill="0" applyBorder="0" applyAlignment="0" applyProtection="0"/>
    <xf numFmtId="203"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204" fontId="105" fillId="0" borderId="0"/>
    <xf numFmtId="204" fontId="105" fillId="0" borderId="0"/>
    <xf numFmtId="204" fontId="105" fillId="0" borderId="0"/>
    <xf numFmtId="204" fontId="105" fillId="0" borderId="0"/>
    <xf numFmtId="0" fontId="105" fillId="0" borderId="0"/>
    <xf numFmtId="204" fontId="105" fillId="0" borderId="0"/>
    <xf numFmtId="5" fontId="123" fillId="0" borderId="0" applyFont="0" applyFill="0" applyBorder="0" applyAlignment="0" applyProtection="0"/>
    <xf numFmtId="5" fontId="123" fillId="0" borderId="0" applyFont="0" applyFill="0" applyBorder="0" applyAlignment="0" applyProtection="0"/>
    <xf numFmtId="201" fontId="122" fillId="0" borderId="0" applyFont="0" applyFill="0" applyBorder="0" applyAlignment="0" applyProtection="0"/>
    <xf numFmtId="5" fontId="123" fillId="0" borderId="0" applyFont="0" applyFill="0" applyBorder="0" applyAlignment="0" applyProtection="0"/>
    <xf numFmtId="5" fontId="12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01" fontId="122" fillId="0" borderId="0" applyFont="0" applyFill="0" applyBorder="0" applyAlignment="0" applyProtection="0"/>
    <xf numFmtId="201" fontId="122" fillId="0" borderId="0" applyFont="0" applyFill="0" applyBorder="0" applyAlignment="0" applyProtection="0"/>
    <xf numFmtId="201" fontId="122"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10" fontId="123" fillId="0" borderId="0" applyFont="0" applyFill="0" applyBorder="0" applyAlignment="0" applyProtection="0"/>
    <xf numFmtId="10" fontId="123" fillId="0" borderId="0" applyFont="0" applyFill="0" applyBorder="0" applyAlignment="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2" fillId="0" borderId="0" applyNumberFormat="0" applyFill="0" applyBorder="0" applyAlignment="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0" fontId="126" fillId="0" borderId="0" applyNumberFormat="0" applyFill="0" applyBorder="0" applyProtection="0"/>
    <xf numFmtId="205" fontId="127" fillId="0" borderId="0" applyFont="0" applyFill="0" applyBorder="0" applyAlignment="0" applyProtection="0"/>
    <xf numFmtId="0" fontId="19" fillId="0" borderId="0" applyFont="0" applyFill="0" applyBorder="0" applyAlignment="0" applyProtection="0"/>
    <xf numFmtId="206" fontId="128" fillId="0" borderId="0" applyFont="0" applyFill="0" applyBorder="0" applyAlignment="0" applyProtection="0"/>
    <xf numFmtId="207" fontId="128" fillId="0" borderId="0" applyFont="0" applyFill="0" applyBorder="0" applyAlignment="0" applyProtection="0"/>
    <xf numFmtId="208" fontId="128" fillId="0" borderId="0" applyFont="0" applyFill="0" applyBorder="0" applyAlignment="0" applyProtection="0"/>
    <xf numFmtId="209" fontId="128" fillId="0" borderId="0" applyFont="0" applyFill="0" applyBorder="0" applyAlignment="0" applyProtection="0"/>
    <xf numFmtId="0" fontId="128" fillId="0" borderId="0"/>
    <xf numFmtId="0" fontId="19" fillId="0" borderId="0" applyFont="0" applyFill="0" applyBorder="0" applyAlignment="0" applyProtection="0"/>
    <xf numFmtId="210" fontId="127" fillId="0" borderId="0" applyFont="0" applyFill="0" applyBorder="0" applyAlignment="0" applyProtection="0"/>
    <xf numFmtId="0" fontId="123"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9"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132" fillId="0" borderId="0"/>
    <xf numFmtId="0" fontId="132"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2" fillId="0" borderId="0"/>
    <xf numFmtId="0" fontId="2" fillId="0" borderId="0"/>
    <xf numFmtId="0" fontId="2" fillId="0" borderId="0">
      <alignment horizontal="left" wrapText="1"/>
    </xf>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3" fillId="0" borderId="0"/>
    <xf numFmtId="0" fontId="133" fillId="0" borderId="0"/>
    <xf numFmtId="0" fontId="133"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xf numFmtId="0" fontId="2" fillId="0" borderId="0">
      <alignment horizontal="left" wrapText="1"/>
    </xf>
    <xf numFmtId="0" fontId="2" fillId="0" borderId="0">
      <alignment horizontal="left" wrapText="1"/>
    </xf>
    <xf numFmtId="0" fontId="132" fillId="0" borderId="0"/>
    <xf numFmtId="0" fontId="132" fillId="0" borderId="0"/>
    <xf numFmtId="0" fontId="132" fillId="0" borderId="0"/>
    <xf numFmtId="0" fontId="13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2" fillId="0" borderId="0"/>
    <xf numFmtId="0" fontId="132" fillId="0" borderId="0"/>
    <xf numFmtId="0" fontId="132" fillId="0" borderId="0"/>
    <xf numFmtId="0" fontId="13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3" fillId="0" borderId="0"/>
    <xf numFmtId="0" fontId="2" fillId="80" borderId="0"/>
    <xf numFmtId="0" fontId="2" fillId="0" borderId="0"/>
    <xf numFmtId="0" fontId="2" fillId="0" borderId="0"/>
    <xf numFmtId="0" fontId="2" fillId="0" borderId="0" applyFont="0" applyFill="0" applyBorder="0" applyAlignment="0" applyProtection="0"/>
    <xf numFmtId="0" fontId="132" fillId="0" borderId="0"/>
    <xf numFmtId="0" fontId="132" fillId="0" borderId="0"/>
    <xf numFmtId="0" fontId="132" fillId="0" borderId="0"/>
    <xf numFmtId="0" fontId="13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36" fillId="84"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136"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228" fontId="105" fillId="84"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105"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2" fillId="0" borderId="0"/>
    <xf numFmtId="0" fontId="132" fillId="0" borderId="0"/>
    <xf numFmtId="0" fontId="132" fillId="0" borderId="0"/>
    <xf numFmtId="0" fontId="13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2"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2"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7" fillId="0" borderId="127"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3" fillId="0" borderId="0"/>
    <xf numFmtId="0" fontId="133" fillId="0" borderId="0"/>
    <xf numFmtId="0" fontId="133" fillId="0" borderId="0"/>
    <xf numFmtId="0" fontId="133" fillId="0" borderId="0"/>
    <xf numFmtId="0" fontId="133" fillId="0" borderId="0"/>
    <xf numFmtId="0" fontId="133"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2" fillId="0" borderId="0"/>
    <xf numFmtId="0" fontId="132" fillId="0" borderId="0"/>
    <xf numFmtId="0" fontId="2" fillId="0" borderId="0"/>
    <xf numFmtId="0" fontId="132" fillId="0" borderId="0"/>
    <xf numFmtId="0" fontId="132" fillId="0" borderId="0"/>
    <xf numFmtId="0" fontId="132" fillId="0" borderId="0"/>
    <xf numFmtId="0" fontId="8" fillId="0" borderId="0"/>
    <xf numFmtId="0" fontId="133" fillId="0" borderId="0"/>
    <xf numFmtId="0" fontId="2" fillId="0" borderId="0"/>
    <xf numFmtId="0" fontId="2" fillId="8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132" fillId="0" borderId="0"/>
    <xf numFmtId="0" fontId="132"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138"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2"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7" fillId="0" borderId="127" applyNumberFormat="0" applyFill="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2" fillId="0" borderId="0">
      <alignment horizontal="left" wrapText="1"/>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40" fillId="0" borderId="128" applyNumberFormat="0" applyFill="0" applyProtection="0">
      <alignment horizontal="center"/>
    </xf>
    <xf numFmtId="0" fontId="140"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2"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128" applyNumberFormat="0" applyFill="0" applyProtection="0">
      <alignment horizontal="center"/>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40"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139" fillId="0" borderId="0" applyNumberFormat="0" applyFill="0" applyBorder="0" applyProtection="0">
      <alignment horizontal="left"/>
    </xf>
    <xf numFmtId="0" fontId="2" fillId="0" borderId="0">
      <alignment horizontal="left" wrapText="1"/>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2"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3"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32" fillId="0" borderId="0"/>
    <xf numFmtId="0" fontId="132" fillId="0" borderId="0"/>
    <xf numFmtId="0" fontId="2" fillId="0" borderId="0"/>
    <xf numFmtId="0" fontId="2" fillId="0" borderId="0"/>
    <xf numFmtId="0" fontId="132" fillId="0" borderId="0"/>
    <xf numFmtId="0" fontId="132" fillId="0" borderId="0"/>
    <xf numFmtId="0" fontId="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0" fontId="132" fillId="0" borderId="0"/>
    <xf numFmtId="0" fontId="2" fillId="0" borderId="0"/>
    <xf numFmtId="0" fontId="130" fillId="81" borderId="126" quotePrefix="1" applyNumberFormat="0" applyFont="0" applyFill="0" applyBorder="0" applyAlignment="0" applyProtection="0">
      <alignment horizontal="centerContinuous" vertical="justify"/>
      <protection locked="0" hidden="1"/>
    </xf>
    <xf numFmtId="0" fontId="131" fillId="82" borderId="126" quotePrefix="1" applyNumberFormat="0" applyFont="0" applyFill="0" applyBorder="0">
      <protection locked="0" hidden="1"/>
    </xf>
    <xf numFmtId="0" fontId="2" fillId="0" borderId="0"/>
    <xf numFmtId="0" fontId="2" fillId="0" borderId="0"/>
    <xf numFmtId="0" fontId="2" fillId="0" borderId="0"/>
    <xf numFmtId="0" fontId="134"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4" fillId="0" borderId="0">
      <alignment horizontal="left" vertical="center"/>
    </xf>
    <xf numFmtId="0" fontId="132" fillId="0" borderId="0"/>
    <xf numFmtId="0" fontId="144"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5" fillId="0" borderId="0"/>
    <xf numFmtId="1" fontId="146" fillId="0" borderId="121">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7" fillId="0" borderId="0" applyFill="0" applyBorder="0" applyAlignment="0" applyProtection="0"/>
    <xf numFmtId="238" fontId="147" fillId="0" borderId="0" applyFill="0" applyBorder="0" applyAlignment="0" applyProtection="0"/>
    <xf numFmtId="238" fontId="147" fillId="0" borderId="0" applyFill="0" applyBorder="0" applyAlignment="0" applyProtection="0"/>
    <xf numFmtId="239" fontId="147" fillId="0" borderId="0" applyFill="0" applyBorder="0" applyAlignment="0" applyProtection="0"/>
    <xf numFmtId="239" fontId="147" fillId="0" borderId="0" applyFill="0" applyBorder="0" applyAlignment="0" applyProtection="0"/>
    <xf numFmtId="239" fontId="147"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8" fillId="0" borderId="62"/>
    <xf numFmtId="0" fontId="134"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6"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242" fontId="134" fillId="0" borderId="0" applyFont="0" applyFill="0" applyBorder="0" applyAlignment="0" applyProtection="0"/>
    <xf numFmtId="0" fontId="123" fillId="0" borderId="0" applyFont="0" applyFill="0" applyBorder="0" applyAlignment="0" applyProtection="0"/>
    <xf numFmtId="14" fontId="149" fillId="0" borderId="0" applyFill="0" applyBorder="0" applyProtection="0">
      <alignment horizontal="right"/>
    </xf>
    <xf numFmtId="16" fontId="149" fillId="0" borderId="0" applyFill="0" applyBorder="0" applyProtection="0">
      <alignment horizontal="right"/>
    </xf>
    <xf numFmtId="18" fontId="149" fillId="0" borderId="0" applyFill="0" applyBorder="0" applyProtection="0">
      <alignment horizontal="right"/>
    </xf>
    <xf numFmtId="16" fontId="149" fillId="0" borderId="0" applyFill="0" applyBorder="0" applyProtection="0">
      <alignment horizontal="right"/>
    </xf>
    <xf numFmtId="22" fontId="149" fillId="0" borderId="0" applyFill="0" applyBorder="0" applyProtection="0">
      <alignment horizontal="right"/>
    </xf>
    <xf numFmtId="14" fontId="149" fillId="0" borderId="0" applyFill="0" applyBorder="0" applyProtection="0">
      <alignment horizontal="right"/>
    </xf>
    <xf numFmtId="20" fontId="149" fillId="0" borderId="0" applyFill="0" applyBorder="0" applyProtection="0">
      <alignment horizontal="right"/>
    </xf>
    <xf numFmtId="16" fontId="149" fillId="0" borderId="0" applyFill="0" applyBorder="0" applyProtection="0">
      <alignment horizontal="right"/>
    </xf>
    <xf numFmtId="16" fontId="149" fillId="0" borderId="0" applyFill="0" applyBorder="0" applyProtection="0">
      <alignment horizontal="right"/>
    </xf>
    <xf numFmtId="14" fontId="149" fillId="0" borderId="0" applyFill="0" applyBorder="0" applyProtection="0">
      <alignment horizontal="right"/>
    </xf>
    <xf numFmtId="1" fontId="149" fillId="0" borderId="0" applyFill="0" applyBorder="0" applyProtection="0">
      <alignment horizontal="right"/>
    </xf>
    <xf numFmtId="1" fontId="149" fillId="0" borderId="0" applyFill="0" applyBorder="0" applyProtection="0">
      <alignment horizontal="right"/>
    </xf>
    <xf numFmtId="1" fontId="149"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50" fillId="0" borderId="7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2" fillId="96" borderId="0" applyNumberFormat="0" applyFont="0" applyBorder="0" applyProtection="0"/>
    <xf numFmtId="0" fontId="28" fillId="0" borderId="101" applyBorder="0"/>
    <xf numFmtId="0" fontId="28" fillId="0" borderId="10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0"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0" fontId="19" fillId="0" borderId="96" applyFont="0" applyFill="0" applyBorder="0" applyAlignment="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applyAlignment="0">
      <alignment vertical="center"/>
    </xf>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244" fontId="105" fillId="0" borderId="0" applyFont="0" applyFill="0" applyBorder="0"/>
    <xf numFmtId="0" fontId="153" fillId="0" borderId="0" applyNumberFormat="0" applyFill="0" applyBorder="0" applyAlignment="0">
      <protection locked="0"/>
    </xf>
    <xf numFmtId="245" fontId="134" fillId="0" borderId="0" applyFont="0" applyFill="0" applyBorder="0" applyAlignment="0" applyProtection="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applyProtection="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245" fontId="134" fillId="0" borderId="0" applyFont="0" applyFill="0" applyBorder="0" applyAlignment="0">
      <protection locked="0"/>
    </xf>
    <xf numFmtId="0" fontId="154" fillId="91" borderId="12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3" fontId="155" fillId="83" borderId="113" applyNumberFormat="0" applyFont="0" applyAlignment="0"/>
    <xf numFmtId="0" fontId="134"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0"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246" fontId="153" fillId="102" borderId="113" applyNumberFormat="0" applyFill="0" applyBorder="0" applyAlignment="0" applyProtection="0"/>
    <xf numFmtId="0" fontId="153" fillId="102" borderId="113" applyNumberFormat="0" applyFill="0" applyBorder="0" applyAlignment="0" applyProtection="0"/>
    <xf numFmtId="0" fontId="156" fillId="0" borderId="13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7" fillId="103" borderId="131" applyNumberFormat="0" applyAlignment="0" applyProtection="0"/>
    <xf numFmtId="0" fontId="157" fillId="103" borderId="131" applyNumberFormat="0" applyAlignment="0" applyProtection="0"/>
    <xf numFmtId="0" fontId="158" fillId="0" borderId="0" applyNumberFormat="0" applyFill="0" applyAlignment="0"/>
    <xf numFmtId="0" fontId="159" fillId="0" borderId="132" applyNumberFormat="0" applyFont="0" applyFill="0" applyAlignment="0"/>
    <xf numFmtId="247"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160" fillId="103" borderId="0" applyNumberFormat="0" applyBorder="0">
      <alignment horizontal="center" vertical="center"/>
    </xf>
    <xf numFmtId="0" fontId="21" fillId="63" borderId="133" applyNumberFormat="0" applyAlignment="0" applyProtection="0"/>
    <xf numFmtId="0" fontId="161" fillId="0" borderId="0" applyNumberFormat="0" applyFill="0" applyBorder="0" applyAlignment="0">
      <alignment horizontal="right"/>
    </xf>
    <xf numFmtId="38" fontId="162"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4" fillId="105"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4" fillId="106" borderId="0" applyNumberFormat="0" applyBorder="0" applyAlignment="0" applyProtection="0"/>
    <xf numFmtId="0" fontId="163"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4" fillId="0" borderId="0" applyFont="0" applyFill="0" applyBorder="0" applyAlignment="0" applyProtection="0"/>
    <xf numFmtId="249" fontId="165" fillId="0" borderId="0"/>
    <xf numFmtId="0" fontId="166" fillId="0" borderId="134"/>
    <xf numFmtId="250" fontId="2" fillId="0" borderId="0"/>
    <xf numFmtId="0" fontId="166" fillId="0" borderId="135"/>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57" fillId="103" borderId="136">
      <alignment horizontal="center" vertical="center"/>
    </xf>
    <xf numFmtId="0" fontId="157" fillId="103" borderId="136">
      <alignment horizontal="center" vertical="center"/>
    </xf>
    <xf numFmtId="0" fontId="170" fillId="0" borderId="0" applyProtection="0">
      <alignment horizontal="center"/>
    </xf>
    <xf numFmtId="0" fontId="170"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1"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45" fillId="0" borderId="0" applyNumberFormat="0" applyFill="0" applyBorder="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0" fontId="2" fillId="0" borderId="101" applyNumberFormat="0" applyFill="0" applyAlignment="0" applyProtection="0"/>
    <xf numFmtId="172" fontId="134" fillId="0" borderId="0">
      <alignment vertical="top"/>
    </xf>
    <xf numFmtId="172" fontId="134" fillId="0" borderId="0">
      <alignment vertical="top"/>
    </xf>
    <xf numFmtId="172" fontId="134" fillId="0" borderId="0">
      <alignment vertical="top"/>
    </xf>
    <xf numFmtId="0" fontId="45" fillId="0" borderId="0" applyNumberFormat="0" applyFill="0" applyBorder="0" applyProtection="0">
      <alignment horizontal="right"/>
    </xf>
    <xf numFmtId="172" fontId="173" fillId="0" borderId="0">
      <alignment horizontal="right"/>
    </xf>
    <xf numFmtId="172" fontId="173" fillId="0" borderId="0">
      <alignment horizontal="right"/>
    </xf>
    <xf numFmtId="172" fontId="173" fillId="0" borderId="0">
      <alignment horizontal="right"/>
    </xf>
    <xf numFmtId="0" fontId="173" fillId="0" borderId="0">
      <alignment horizontal="left"/>
    </xf>
    <xf numFmtId="0" fontId="174" fillId="74" borderId="0" applyNumberFormat="0" applyBorder="0" applyAlignment="0" applyProtection="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251" fontId="105" fillId="0" borderId="131" applyNumberFormat="0" applyFont="0" applyFill="0" applyAlignment="0">
      <alignment vertical="center"/>
    </xf>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105" fillId="0" borderId="131" applyNumberFormat="0" applyFont="0" applyFill="0"/>
    <xf numFmtId="0" fontId="2" fillId="72" borderId="0"/>
    <xf numFmtId="0" fontId="175" fillId="0" borderId="1" applyNumberFormat="0" applyFont="0" applyFill="0" applyAlignment="0" applyProtection="0"/>
    <xf numFmtId="0" fontId="175" fillId="0" borderId="137" applyNumberFormat="0" applyFont="0" applyFill="0" applyAlignment="0" applyProtection="0"/>
    <xf numFmtId="0" fontId="123" fillId="0" borderId="101" applyNumberFormat="0" applyFont="0" applyFill="0" applyAlignment="0" applyProtection="0"/>
    <xf numFmtId="0" fontId="123" fillId="0" borderId="101" applyNumberFormat="0" applyFont="0" applyFill="0" applyAlignment="0" applyProtection="0"/>
    <xf numFmtId="0" fontId="123" fillId="0" borderId="64" applyNumberFormat="0" applyFont="0" applyFill="0" applyAlignment="0" applyProtection="0"/>
    <xf numFmtId="0" fontId="123" fillId="0" borderId="64" applyNumberFormat="0" applyFont="0" applyFill="0" applyAlignment="0" applyProtection="0"/>
    <xf numFmtId="0" fontId="123" fillId="0" borderId="64" applyNumberFormat="0" applyFont="0" applyFill="0" applyAlignment="0" applyProtection="0"/>
    <xf numFmtId="0" fontId="123" fillId="0" borderId="62" applyNumberFormat="0" applyFont="0" applyFill="0" applyAlignment="0" applyProtection="0"/>
    <xf numFmtId="0" fontId="123" fillId="0" borderId="62"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0" fontId="123" fillId="0" borderId="97" applyNumberFormat="0" applyFont="0" applyFill="0" applyAlignment="0" applyProtection="0"/>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252"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0" fontId="29"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20"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5"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0"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6" fontId="8"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7" fontId="176"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6"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3"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44" fontId="8"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3" fontId="132" fillId="0" borderId="0" applyFill="0" applyBorder="0" applyAlignment="0"/>
    <xf numFmtId="255" fontId="8"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8" fontId="176"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5" fontId="132" fillId="0" borderId="0" applyFill="0" applyBorder="0" applyAlignment="0"/>
    <xf numFmtId="254"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20" fontId="8"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254" fontId="132" fillId="0" borderId="0" applyFill="0" applyBorder="0" applyAlignment="0"/>
    <xf numFmtId="0" fontId="21" fillId="63"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8"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3" borderId="133" applyNumberFormat="0" applyAlignment="0" applyProtection="0"/>
    <xf numFmtId="0" fontId="21" fillId="63" borderId="133" applyNumberFormat="0" applyAlignment="0" applyProtection="0"/>
    <xf numFmtId="0" fontId="21" fillId="68" borderId="133" applyNumberFormat="0" applyAlignment="0" applyProtection="0"/>
    <xf numFmtId="0" fontId="21" fillId="63" borderId="133" applyNumberFormat="0" applyAlignment="0" applyProtection="0"/>
    <xf numFmtId="0" fontId="21" fillId="63" borderId="133" applyNumberFormat="0" applyAlignment="0" applyProtection="0"/>
    <xf numFmtId="0" fontId="177" fillId="104" borderId="133" applyNumberFormat="0" applyAlignment="0" applyProtection="0"/>
    <xf numFmtId="0" fontId="119" fillId="8" borderId="32" applyNumberFormat="0" applyAlignment="0" applyProtection="0"/>
    <xf numFmtId="3" fontId="45" fillId="41" borderId="64">
      <protection hidden="1"/>
    </xf>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177" fillId="104" borderId="133" applyNumberFormat="0" applyAlignment="0" applyProtection="0"/>
    <xf numFmtId="0" fontId="177" fillId="104" borderId="133" applyNumberFormat="0" applyAlignment="0" applyProtection="0"/>
    <xf numFmtId="0" fontId="23" fillId="63" borderId="133" applyNumberFormat="0" applyAlignment="0" applyProtection="0"/>
    <xf numFmtId="0" fontId="23" fillId="63" borderId="133" applyNumberFormat="0" applyAlignment="0" applyProtection="0"/>
    <xf numFmtId="0" fontId="23" fillId="63" borderId="133" applyNumberFormat="0" applyAlignment="0" applyProtection="0"/>
    <xf numFmtId="0" fontId="123" fillId="0" borderId="0" applyFont="0" applyFill="0" applyBorder="0" applyAlignment="0" applyProtection="0"/>
    <xf numFmtId="38" fontId="123" fillId="0" borderId="0" applyFont="0" applyFill="0" applyBorder="0" applyAlignment="0" applyProtection="0"/>
    <xf numFmtId="38" fontId="123" fillId="0" borderId="0" applyFont="0" applyFill="0" applyBorder="0" applyAlignment="0" applyProtection="0"/>
    <xf numFmtId="38" fontId="123"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40" fontId="123" fillId="0" borderId="0" applyFont="0" applyFill="0" applyBorder="0" applyAlignment="0" applyProtection="0"/>
    <xf numFmtId="40" fontId="123"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24" fillId="108"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8" fillId="0" borderId="64" applyBorder="0"/>
    <xf numFmtId="259" fontId="179"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6" fillId="108"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vertical="center"/>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xf>
    <xf numFmtId="3" fontId="180" fillId="69" borderId="113" applyFont="0" applyFill="0" applyProtection="0">
      <alignment horizontal="right" vertical="center"/>
    </xf>
    <xf numFmtId="10" fontId="181" fillId="0" borderId="0">
      <alignment vertical="center"/>
    </xf>
    <xf numFmtId="3" fontId="181"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2" fillId="0" borderId="138"/>
    <xf numFmtId="200" fontId="183" fillId="0" borderId="0" applyFont="0" applyFill="0" applyBorder="0" applyAlignment="0" applyProtection="0"/>
    <xf numFmtId="0" fontId="184" fillId="0" borderId="0"/>
    <xf numFmtId="0" fontId="184" fillId="0" borderId="0"/>
    <xf numFmtId="0" fontId="184" fillId="0" borderId="0"/>
    <xf numFmtId="0" fontId="184" fillId="0" borderId="0"/>
    <xf numFmtId="260" fontId="2" fillId="0" borderId="0"/>
    <xf numFmtId="260" fontId="2" fillId="0" borderId="0"/>
    <xf numFmtId="260" fontId="2" fillId="0" borderId="0"/>
    <xf numFmtId="260" fontId="2" fillId="0" borderId="0"/>
    <xf numFmtId="216" fontId="185" fillId="0" borderId="0">
      <alignment horizontal="right" vertical="center" wrapText="1"/>
    </xf>
    <xf numFmtId="216" fontId="185" fillId="0" borderId="0">
      <alignment horizontal="right" vertical="center" wrapText="1"/>
    </xf>
    <xf numFmtId="216" fontId="185"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44" fontId="8"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253" fontId="132" fillId="0" borderId="0" applyFont="0" applyFill="0" applyBorder="0" applyAlignment="0" applyProtection="0"/>
    <xf numFmtId="38" fontId="186"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7" fillId="0" borderId="0">
      <alignment horizontal="center"/>
      <protection locked="0"/>
    </xf>
    <xf numFmtId="0" fontId="2" fillId="0" borderId="0" applyFont="0" applyFill="0" applyBorder="0" applyAlignment="0" applyProtection="0"/>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2" fillId="0" borderId="0" applyFont="0" applyFill="0" applyBorder="0" applyAlignment="0" applyProtection="0"/>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0" fontId="187" fillId="0" borderId="0">
      <alignment horizontal="center"/>
      <protection locked="0"/>
    </xf>
    <xf numFmtId="0" fontId="187" fillId="0" borderId="0">
      <alignment horizontal="center"/>
      <protection locked="0"/>
    </xf>
    <xf numFmtId="38" fontId="187"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6" fillId="0" borderId="0" applyFont="0" applyFill="0" applyBorder="0" applyAlignment="0" applyProtection="0">
      <alignment horizontal="right"/>
    </xf>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1" fontId="136" fillId="0" borderId="0" applyFont="0" applyFill="0" applyBorder="0" applyProtection="0"/>
    <xf numFmtId="262" fontId="136"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6" fillId="0" borderId="0" applyFont="0" applyFill="0" applyBorder="0" applyAlignment="0" applyProtection="0">
      <alignment horizontal="right"/>
    </xf>
    <xf numFmtId="263" fontId="136" fillId="0" borderId="0" applyFont="0" applyFill="0" applyBorder="0" applyAlignment="0" applyProtection="0">
      <alignment horizontal="right"/>
    </xf>
    <xf numFmtId="166"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Alignment="0" applyProtection="0">
      <alignment horizontal="right"/>
    </xf>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263" fontId="13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6" fillId="0" borderId="0" applyFont="0" applyFill="0" applyBorder="0" applyProtection="0"/>
    <xf numFmtId="166" fontId="2" fillId="0" borderId="0" applyFont="0" applyFill="0" applyBorder="0" applyAlignment="0" applyProtection="0"/>
    <xf numFmtId="263" fontId="136" fillId="0" borderId="0" applyFont="0" applyFill="0" applyBorder="0" applyProtection="0"/>
    <xf numFmtId="263" fontId="136"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6"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8"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00" fontId="2" fillId="0" borderId="0" applyFont="0" applyFill="0" applyBorder="0" applyAlignment="0" applyProtection="0"/>
    <xf numFmtId="200" fontId="2" fillId="0" borderId="0" applyFont="0" applyFill="0" applyBorder="0" applyAlignment="0" applyProtection="0"/>
    <xf numFmtId="3" fontId="183" fillId="0" borderId="122">
      <alignment vertical="center"/>
    </xf>
    <xf numFmtId="220" fontId="122" fillId="0" borderId="0" applyFont="0" applyFill="0" applyBorder="0" applyAlignment="0" applyProtection="0"/>
    <xf numFmtId="220" fontId="122" fillId="0" borderId="0" applyFont="0" applyFill="0" applyBorder="0" applyAlignment="0" applyProtection="0"/>
    <xf numFmtId="3" fontId="183" fillId="0" borderId="122">
      <alignment vertical="center"/>
    </xf>
    <xf numFmtId="39"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3" fontId="183" fillId="0" borderId="122">
      <alignment vertical="center"/>
    </xf>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3" fontId="183" fillId="0" borderId="12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9" fillId="106" borderId="0" applyBorder="0">
      <alignment horizontal="left"/>
    </xf>
    <xf numFmtId="0" fontId="190" fillId="109" borderId="0" applyNumberFormat="0" applyBorder="0">
      <alignment horizontal="left"/>
    </xf>
    <xf numFmtId="0" fontId="29"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9" fillId="73" borderId="139" applyNumberFormat="0" applyFont="0" applyAlignment="0" applyProtection="0"/>
    <xf numFmtId="0" fontId="29" fillId="73" borderId="139" applyNumberFormat="0" applyFont="0" applyAlignment="0" applyProtection="0"/>
    <xf numFmtId="0" fontId="29" fillId="73" borderId="139" applyNumberFormat="0" applyFont="0" applyAlignment="0" applyProtection="0"/>
    <xf numFmtId="3" fontId="183" fillId="0" borderId="122">
      <alignment vertical="center"/>
    </xf>
    <xf numFmtId="0" fontId="29" fillId="73" borderId="139" applyNumberFormat="0" applyFont="0" applyAlignment="0" applyProtection="0"/>
    <xf numFmtId="0" fontId="29"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71" fillId="73" borderId="139"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1" fillId="0" borderId="0" applyFill="0" applyBorder="0">
      <alignment horizontal="left"/>
    </xf>
    <xf numFmtId="0" fontId="192" fillId="110"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3" fillId="0" borderId="0" applyNumberFormat="0" applyAlignment="0">
      <alignment horizontal="left"/>
    </xf>
    <xf numFmtId="0" fontId="194" fillId="0" borderId="117" applyNumberFormat="0" applyFill="0" applyBorder="0" applyAlignment="0" applyProtection="0">
      <alignment horizontal="center"/>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4" fillId="0" borderId="117" applyNumberFormat="0" applyFill="0" applyBorder="0" applyAlignment="0" applyProtection="0">
      <alignment horizontal="center"/>
      <protection locked="0"/>
    </xf>
    <xf numFmtId="0" fontId="194" fillId="0" borderId="117" applyNumberFormat="0" applyFill="0" applyBorder="0" applyAlignment="0" applyProtection="0">
      <alignment horizontal="center"/>
      <protection locked="0"/>
    </xf>
    <xf numFmtId="3" fontId="183" fillId="0" borderId="122">
      <alignment vertical="center"/>
    </xf>
    <xf numFmtId="0" fontId="194" fillId="0" borderId="117" applyNumberFormat="0" applyFill="0" applyBorder="0" applyAlignment="0" applyProtection="0">
      <alignment horizontal="center"/>
      <protection locked="0"/>
    </xf>
    <xf numFmtId="0" fontId="194" fillId="0" borderId="117" applyNumberFormat="0" applyFill="0" applyBorder="0" applyAlignment="0" applyProtection="0">
      <alignment horizontal="center"/>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0" fontId="195" fillId="0" borderId="117" applyNumberFormat="0" applyFill="0" applyBorder="0">
      <protection locked="0"/>
    </xf>
    <xf numFmtId="3" fontId="183" fillId="0" borderId="122">
      <alignment vertical="center"/>
    </xf>
    <xf numFmtId="3" fontId="196" fillId="0" borderId="140" applyNumberFormat="0" applyAlignment="0">
      <alignment vertical="center"/>
    </xf>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3" fontId="183" fillId="0" borderId="122">
      <alignment vertical="center"/>
    </xf>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196" fillId="0" borderId="140" applyNumberFormat="0"/>
    <xf numFmtId="0" fontId="2" fillId="0" borderId="0" applyFont="0" applyFill="0" applyBorder="0" applyAlignment="0" applyProtection="0"/>
    <xf numFmtId="264" fontId="197"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3" fillId="0" borderId="122">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3" fillId="0" borderId="122">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20" fontId="8"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254" fontId="132" fillId="0" borderId="0" applyFont="0" applyFill="0" applyBorder="0" applyAlignment="0" applyProtection="0"/>
    <xf numFmtId="3" fontId="183" fillId="0" borderId="12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6" fillId="0" borderId="0" applyFont="0" applyFill="0" applyBorder="0" applyAlignment="0" applyProtection="0">
      <alignment horizontal="right"/>
    </xf>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265" fontId="136" fillId="0" borderId="0" applyFont="0" applyFill="0" applyBorder="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266" fontId="136" fillId="0" borderId="0" applyFont="0" applyFill="0" applyBorder="0" applyAlignment="0" applyProtection="0">
      <alignment horizontal="right"/>
    </xf>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3" fontId="183" fillId="0" borderId="122">
      <alignment vertical="center"/>
    </xf>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6" fillId="0" borderId="0" applyFont="0" applyFill="0" applyBorder="0" applyProtection="0"/>
    <xf numFmtId="3" fontId="183" fillId="0" borderId="122">
      <alignment vertical="center"/>
    </xf>
    <xf numFmtId="3" fontId="183" fillId="0" borderId="122">
      <alignment vertical="center"/>
    </xf>
    <xf numFmtId="266" fontId="136" fillId="0" borderId="0" applyFont="0" applyFill="0" applyBorder="0" applyProtection="0"/>
    <xf numFmtId="266" fontId="136" fillId="0" borderId="0" applyFont="0" applyFill="0" applyBorder="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3" fontId="183" fillId="0" borderId="122">
      <alignment vertical="center"/>
    </xf>
    <xf numFmtId="266" fontId="136" fillId="0" borderId="0" applyFont="0" applyFill="0" applyBorder="0" applyProtection="0"/>
    <xf numFmtId="266" fontId="136" fillId="0" borderId="0" applyFont="0" applyFill="0" applyBorder="0" applyProtection="0"/>
    <xf numFmtId="3" fontId="183" fillId="0" borderId="122">
      <alignment vertical="center"/>
    </xf>
    <xf numFmtId="196" fontId="2" fillId="0" borderId="0" applyFont="0" applyFill="0" applyBorder="0" applyAlignment="0" applyProtection="0"/>
    <xf numFmtId="3" fontId="183" fillId="0" borderId="122">
      <alignment vertical="center"/>
    </xf>
    <xf numFmtId="266" fontId="136"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266" fontId="136" fillId="0" borderId="0" applyFont="0" applyFill="0" applyBorder="0" applyProtection="0"/>
    <xf numFmtId="196" fontId="2" fillId="0" borderId="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3" fillId="0" borderId="12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3" fillId="0" borderId="122">
      <alignment vertical="center"/>
    </xf>
    <xf numFmtId="3" fontId="183" fillId="0" borderId="122">
      <alignment vertical="center"/>
    </xf>
    <xf numFmtId="267" fontId="198" fillId="0" borderId="0"/>
    <xf numFmtId="0" fontId="2" fillId="0" borderId="0" applyNumberFormat="0" applyFont="0" applyFill="0" applyBorder="0" applyAlignment="0" applyProtection="0"/>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267" fontId="198" fillId="0" borderId="0"/>
    <xf numFmtId="267" fontId="198" fillId="0" borderId="0"/>
    <xf numFmtId="3" fontId="183" fillId="0" borderId="122">
      <alignment vertical="center"/>
    </xf>
    <xf numFmtId="3" fontId="183" fillId="0" borderId="122">
      <alignment vertical="center"/>
    </xf>
    <xf numFmtId="0" fontId="198" fillId="0" borderId="0"/>
    <xf numFmtId="0" fontId="2" fillId="0" borderId="0" applyNumberFormat="0" applyFont="0" applyFill="0" applyBorder="0" applyAlignment="0" applyProtection="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267" fontId="198" fillId="0" borderId="0"/>
    <xf numFmtId="3" fontId="183" fillId="0" borderId="122">
      <alignment vertical="center"/>
    </xf>
    <xf numFmtId="267" fontId="198" fillId="0" borderId="0"/>
    <xf numFmtId="267" fontId="198" fillId="0" borderId="0"/>
    <xf numFmtId="3" fontId="183" fillId="0" borderId="122">
      <alignment vertical="center"/>
    </xf>
    <xf numFmtId="3" fontId="183" fillId="0" borderId="122">
      <alignment vertical="center"/>
    </xf>
    <xf numFmtId="0" fontId="198" fillId="0" borderId="0"/>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0" fontId="198" fillId="0" borderId="0"/>
    <xf numFmtId="0" fontId="198" fillId="0" borderId="0"/>
    <xf numFmtId="3" fontId="183" fillId="0" borderId="122">
      <alignment vertical="center"/>
    </xf>
    <xf numFmtId="3" fontId="183" fillId="0" borderId="122">
      <alignment vertical="center"/>
    </xf>
    <xf numFmtId="0" fontId="198" fillId="0" borderId="0"/>
    <xf numFmtId="3" fontId="183" fillId="0" borderId="122">
      <alignment vertical="center"/>
    </xf>
    <xf numFmtId="267" fontId="198" fillId="0" borderId="0"/>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3" fontId="183" fillId="0" borderId="122">
      <alignment vertical="center"/>
    </xf>
    <xf numFmtId="267" fontId="198" fillId="0" borderId="0"/>
    <xf numFmtId="3" fontId="183" fillId="0" borderId="122">
      <alignment vertical="center"/>
    </xf>
    <xf numFmtId="267" fontId="198" fillId="0" borderId="0"/>
    <xf numFmtId="267" fontId="198" fillId="0" borderId="0"/>
    <xf numFmtId="3" fontId="183" fillId="0" borderId="122">
      <alignment vertical="center"/>
    </xf>
    <xf numFmtId="3" fontId="183" fillId="0" borderId="122">
      <alignment vertical="center"/>
    </xf>
    <xf numFmtId="267" fontId="198" fillId="0" borderId="0"/>
    <xf numFmtId="3" fontId="183" fillId="0" borderId="122">
      <alignment vertical="center"/>
    </xf>
    <xf numFmtId="267" fontId="198" fillId="0" borderId="0"/>
    <xf numFmtId="3" fontId="183" fillId="0" borderId="122">
      <alignment vertical="center"/>
    </xf>
    <xf numFmtId="0" fontId="199" fillId="0" borderId="0" applyNumberFormat="0" applyFont="0" applyBorder="0" applyAlignment="0"/>
    <xf numFmtId="0" fontId="199"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41" applyNumberFormat="0" applyFont="0" applyBorder="0" applyAlignment="0" applyProtection="0">
      <alignment horizontal="centerContinuous"/>
    </xf>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2" fillId="0" borderId="0" applyNumberFormat="0" applyFont="0" applyFill="0" applyBorder="0" applyAlignment="0" applyProtection="0"/>
    <xf numFmtId="0" fontId="9" fillId="69" borderId="141" applyNumberFormat="0" applyFont="0" applyBorder="0" applyProtection="0"/>
    <xf numFmtId="3" fontId="183" fillId="0" borderId="122">
      <alignment vertical="center"/>
    </xf>
    <xf numFmtId="0" fontId="2" fillId="0" borderId="0" applyNumberFormat="0" applyFont="0" applyFill="0" applyBorder="0" applyAlignment="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3" fontId="183" fillId="0" borderId="122">
      <alignment vertical="center"/>
    </xf>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0" fontId="9" fillId="69" borderId="141"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3" fillId="0" borderId="122">
      <alignment vertical="center"/>
    </xf>
    <xf numFmtId="0" fontId="161" fillId="0" borderId="0" applyNumberFormat="0" applyBorder="0" applyAlignment="0">
      <alignment horizontal="center"/>
    </xf>
    <xf numFmtId="0" fontId="161" fillId="112" borderId="0" applyNumberFormat="0" applyBorder="0" applyAlignment="0">
      <alignment horizontal="center"/>
    </xf>
    <xf numFmtId="0" fontId="157" fillId="113" borderId="0" applyNumberFormat="0" applyBorder="0" applyAlignment="0"/>
    <xf numFmtId="0" fontId="200"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0" fontId="201" fillId="114" borderId="96" applyNumberFormat="0" applyBorder="0">
      <alignment horizontal="left"/>
    </xf>
    <xf numFmtId="3" fontId="183" fillId="0" borderId="122">
      <alignment vertical="center"/>
    </xf>
    <xf numFmtId="14" fontId="202" fillId="0" borderId="0"/>
    <xf numFmtId="270" fontId="185" fillId="0" borderId="0">
      <alignment horizontal="left" vertical="center" wrapText="1"/>
    </xf>
    <xf numFmtId="270" fontId="185" fillId="0" borderId="0">
      <alignment horizontal="left" vertical="center" wrapText="1"/>
    </xf>
    <xf numFmtId="270" fontId="185" fillId="0" borderId="0">
      <alignment horizontal="left" vertical="center" wrapText="1"/>
    </xf>
    <xf numFmtId="17" fontId="185" fillId="0" borderId="0">
      <alignment horizontal="left" vertical="center" wrapText="1"/>
    </xf>
    <xf numFmtId="0" fontId="2" fillId="0" borderId="0" applyNumberFormat="0" applyFont="0" applyFill="0" applyBorder="0" applyAlignment="0" applyProtection="0"/>
    <xf numFmtId="21" fontId="185" fillId="0" borderId="0">
      <alignment horizontal="left" vertical="center" wrapText="1"/>
    </xf>
    <xf numFmtId="19" fontId="185" fillId="0" borderId="0">
      <alignment horizontal="left" vertical="center" wrapText="1"/>
    </xf>
    <xf numFmtId="3" fontId="183" fillId="0" borderId="122">
      <alignment vertical="center"/>
    </xf>
    <xf numFmtId="0" fontId="185" fillId="0" borderId="0">
      <alignment horizontal="left" vertical="center" wrapText="1"/>
    </xf>
    <xf numFmtId="3" fontId="183" fillId="0" borderId="122">
      <alignment vertical="center"/>
    </xf>
    <xf numFmtId="0" fontId="185" fillId="0" borderId="0">
      <alignment horizontal="left" vertical="center" wrapText="1"/>
    </xf>
    <xf numFmtId="19" fontId="185" fillId="0" borderId="0">
      <alignment horizontal="left" vertical="center" wrapText="1"/>
    </xf>
    <xf numFmtId="19" fontId="185" fillId="0" borderId="0">
      <alignment horizontal="left" vertical="center" wrapText="1"/>
    </xf>
    <xf numFmtId="17" fontId="185"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2" fillId="0" borderId="0"/>
    <xf numFmtId="272" fontId="136"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3" fillId="0" borderId="122">
      <alignment vertical="center"/>
    </xf>
    <xf numFmtId="22" fontId="29" fillId="0" borderId="0" applyFill="0" applyBorder="0" applyAlignment="0"/>
    <xf numFmtId="3" fontId="183" fillId="0" borderId="12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3" fillId="0" borderId="122">
      <alignment vertical="center"/>
    </xf>
    <xf numFmtId="172" fontId="175" fillId="0" borderId="0" applyFont="0" applyFill="0" applyBorder="0" applyProtection="0">
      <alignment horizontal="right"/>
    </xf>
    <xf numFmtId="179" fontId="134"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3"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3" fontId="183" fillId="0" borderId="122">
      <alignment vertical="center"/>
    </xf>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273" fontId="204" fillId="0" borderId="0" applyFont="0" applyFill="0" applyBorder="0" applyAlignment="0" applyProtection="0"/>
    <xf numFmtId="3" fontId="183" fillId="0" borderId="122">
      <alignment vertical="center"/>
    </xf>
    <xf numFmtId="0" fontId="205"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183" fillId="0" borderId="12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183" fillId="0" borderId="122">
      <alignment vertical="center"/>
    </xf>
    <xf numFmtId="0" fontId="2" fillId="0" borderId="64" applyFill="0" applyProtection="0">
      <alignment horizontal="centerContinuous"/>
    </xf>
    <xf numFmtId="0" fontId="2" fillId="0" borderId="64" applyFill="0" applyProtection="0">
      <alignment horizontal="centerContinuous"/>
    </xf>
    <xf numFmtId="3" fontId="183" fillId="0" borderId="12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274" fontId="2" fillId="0" borderId="64" applyFill="0" applyProtection="0">
      <alignment horizontal="centerContinuous"/>
    </xf>
    <xf numFmtId="3" fontId="183" fillId="0" borderId="122">
      <alignment vertical="center"/>
    </xf>
    <xf numFmtId="274" fontId="2" fillId="0" borderId="64" applyFill="0" applyProtection="0">
      <alignment horizontal="centerContinuous"/>
    </xf>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06" fillId="115" borderId="11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206" fillId="115" borderId="11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207" fillId="116" borderId="11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9" fontId="2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6" fillId="0" borderId="14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9" fillId="1" borderId="0" applyNumberFormat="0" applyBorder="0" applyAlignment="0" applyProtection="0"/>
    <xf numFmtId="0" fontId="10" fillId="0" borderId="0"/>
    <xf numFmtId="0" fontId="10" fillId="0" borderId="0"/>
    <xf numFmtId="0" fontId="10" fillId="0" borderId="0"/>
    <xf numFmtId="0" fontId="10" fillId="0" borderId="0"/>
    <xf numFmtId="0" fontId="2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17" fontId="211" fillId="112" borderId="96"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12" fillId="0" borderId="125" applyNumberFormat="0" applyAlignment="0">
      <protection locked="0"/>
    </xf>
    <xf numFmtId="0" fontId="49" fillId="42" borderId="133" applyNumberFormat="0" applyAlignment="0" applyProtection="0"/>
    <xf numFmtId="0" fontId="10" fillId="0" borderId="0"/>
    <xf numFmtId="0" fontId="10" fillId="0" borderId="0"/>
    <xf numFmtId="0" fontId="49" fillId="42" borderId="133" applyNumberFormat="0" applyAlignment="0" applyProtection="0"/>
    <xf numFmtId="0" fontId="49" fillId="42" borderId="133" applyNumberFormat="0" applyAlignment="0" applyProtection="0"/>
    <xf numFmtId="0" fontId="49" fillId="42" borderId="133" applyNumberFormat="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92"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9"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84" fontId="213" fillId="0" borderId="0">
      <alignment horizontal="right" vertical="top"/>
    </xf>
    <xf numFmtId="285" fontId="214" fillId="0" borderId="0" applyBorder="0">
      <alignment horizontal="right" vertical="top"/>
    </xf>
    <xf numFmtId="285" fontId="214" fillId="0" borderId="0" applyBorder="0">
      <alignment horizontal="right" vertical="top"/>
    </xf>
    <xf numFmtId="3" fontId="183" fillId="0" borderId="122">
      <alignment vertical="center"/>
    </xf>
    <xf numFmtId="286" fontId="20" fillId="0" borderId="0">
      <alignment horizontal="right" vertical="top"/>
    </xf>
    <xf numFmtId="287" fontId="129" fillId="0" borderId="0" applyBorder="0">
      <alignment horizontal="right" vertical="top"/>
    </xf>
    <xf numFmtId="287" fontId="129" fillId="0" borderId="0" applyBorder="0">
      <alignment horizontal="right" vertical="top"/>
    </xf>
    <xf numFmtId="3" fontId="183" fillId="0" borderId="122">
      <alignment vertical="center"/>
    </xf>
    <xf numFmtId="286" fontId="213" fillId="0" borderId="0">
      <alignment horizontal="right" vertical="top"/>
    </xf>
    <xf numFmtId="287" fontId="214" fillId="0" borderId="0" applyBorder="0">
      <alignment horizontal="right" vertical="top"/>
    </xf>
    <xf numFmtId="287" fontId="214" fillId="0" borderId="0" applyBorder="0">
      <alignment horizontal="right" vertical="top"/>
    </xf>
    <xf numFmtId="3" fontId="183" fillId="0" borderId="122">
      <alignment vertical="center"/>
    </xf>
    <xf numFmtId="288" fontId="20" fillId="0" borderId="0" applyFill="0" applyBorder="0">
      <alignment horizontal="right" vertical="top"/>
    </xf>
    <xf numFmtId="289" fontId="20" fillId="0" borderId="0" applyFill="0" applyBorder="0">
      <alignment horizontal="right" vertical="top"/>
    </xf>
    <xf numFmtId="211" fontId="129" fillId="0" borderId="0" applyFill="0" applyBorder="0">
      <alignment horizontal="right" vertical="top"/>
    </xf>
    <xf numFmtId="211" fontId="129" fillId="0" borderId="0" applyFill="0" applyBorder="0">
      <alignment horizontal="right" vertical="top"/>
    </xf>
    <xf numFmtId="3" fontId="183" fillId="0" borderId="122">
      <alignment vertical="center"/>
    </xf>
    <xf numFmtId="290" fontId="20" fillId="0" borderId="0" applyFill="0" applyBorder="0">
      <alignment horizontal="right" vertical="top"/>
    </xf>
    <xf numFmtId="291" fontId="129" fillId="0" borderId="0" applyFill="0" applyBorder="0">
      <alignment horizontal="right" vertical="top"/>
    </xf>
    <xf numFmtId="291" fontId="129" fillId="0" borderId="0" applyFill="0" applyBorder="0">
      <alignment horizontal="right" vertical="top"/>
    </xf>
    <xf numFmtId="3" fontId="183" fillId="0" borderId="122">
      <alignment vertical="center"/>
    </xf>
    <xf numFmtId="292" fontId="20" fillId="0" borderId="0" applyFill="0" applyBorder="0">
      <alignment horizontal="right" vertical="top"/>
    </xf>
    <xf numFmtId="293" fontId="129" fillId="0" borderId="0" applyFill="0" applyBorder="0">
      <alignment horizontal="right" vertical="top"/>
    </xf>
    <xf numFmtId="293" fontId="129" fillId="0" borderId="0" applyFill="0" applyBorder="0">
      <alignment horizontal="right" vertical="top"/>
    </xf>
    <xf numFmtId="3" fontId="183" fillId="0" borderId="122">
      <alignment vertical="center"/>
    </xf>
    <xf numFmtId="294" fontId="20" fillId="0" borderId="0" applyFill="0" applyBorder="0">
      <alignment horizontal="right" vertical="top"/>
    </xf>
    <xf numFmtId="295" fontId="129" fillId="0" borderId="0" applyFill="0" applyBorder="0">
      <alignment horizontal="right" vertical="top"/>
    </xf>
    <xf numFmtId="295" fontId="129" fillId="0" borderId="0" applyFill="0" applyBorder="0">
      <alignment horizontal="right" vertical="top"/>
    </xf>
    <xf numFmtId="3" fontId="183" fillId="0" borderId="122">
      <alignment vertical="center"/>
    </xf>
    <xf numFmtId="0" fontId="215" fillId="0" borderId="0">
      <alignment horizontal="left"/>
    </xf>
    <xf numFmtId="0" fontId="216" fillId="0" borderId="0">
      <alignment horizontal="center" wrapText="1"/>
    </xf>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143">
      <alignment horizontal="right" wrapText="1"/>
    </xf>
    <xf numFmtId="0" fontId="215" fillId="0" borderId="143">
      <alignment horizontal="right" wrapText="1"/>
    </xf>
    <xf numFmtId="0" fontId="215" fillId="0" borderId="143">
      <alignment horizontal="right" wrapText="1"/>
    </xf>
    <xf numFmtId="0" fontId="2" fillId="0" borderId="0" applyNumberFormat="0" applyFont="0" applyFill="0" applyBorder="0" applyAlignment="0" applyProtection="0"/>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143">
      <alignment horizontal="right" wrapText="1"/>
    </xf>
    <xf numFmtId="0" fontId="215" fillId="0" borderId="143">
      <alignment horizontal="right" wrapText="1"/>
    </xf>
    <xf numFmtId="0" fontId="215" fillId="0" borderId="14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96" fontId="217" fillId="0" borderId="14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7" fillId="0" borderId="143">
      <alignment horizontal="right"/>
    </xf>
    <xf numFmtId="296" fontId="217" fillId="0" borderId="143">
      <alignment horizontal="right"/>
    </xf>
    <xf numFmtId="296" fontId="217" fillId="0" borderId="143">
      <alignment horizontal="right"/>
    </xf>
    <xf numFmtId="0" fontId="2" fillId="0" borderId="0" applyNumberFormat="0" applyFont="0" applyFill="0" applyBorder="0" applyAlignment="0" applyProtection="0"/>
    <xf numFmtId="0" fontId="218" fillId="0" borderId="0">
      <alignment vertical="center"/>
    </xf>
    <xf numFmtId="297" fontId="218" fillId="0" borderId="0">
      <alignment horizontal="left" vertical="center"/>
    </xf>
    <xf numFmtId="298" fontId="219" fillId="0" borderId="0">
      <alignment vertical="center"/>
    </xf>
    <xf numFmtId="0" fontId="42" fillId="0" borderId="0">
      <alignment vertical="center"/>
    </xf>
    <xf numFmtId="296" fontId="217" fillId="0" borderId="14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7" fillId="0" borderId="143">
      <alignment horizontal="left"/>
    </xf>
    <xf numFmtId="296" fontId="217" fillId="0" borderId="143">
      <alignment horizontal="left"/>
    </xf>
    <xf numFmtId="0" fontId="2" fillId="0" borderId="0" applyNumberFormat="0" applyFont="0" applyFill="0" applyBorder="0" applyAlignment="0" applyProtection="0"/>
    <xf numFmtId="296" fontId="191" fillId="0" borderId="0" applyFill="0" applyBorder="0">
      <alignment vertical="top"/>
    </xf>
    <xf numFmtId="296" fontId="202" fillId="0" borderId="0" applyFill="0" applyBorder="0" applyProtection="0">
      <alignment vertical="top"/>
    </xf>
    <xf numFmtId="296" fontId="220" fillId="0" borderId="0">
      <alignment vertical="top"/>
    </xf>
    <xf numFmtId="296" fontId="129" fillId="0" borderId="0">
      <alignment horizontal="center"/>
    </xf>
    <xf numFmtId="296" fontId="221" fillId="0" borderId="14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1" fillId="0" borderId="143">
      <alignment horizontal="center"/>
    </xf>
    <xf numFmtId="296" fontId="221" fillId="0" borderId="143">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195" fontId="129" fillId="0" borderId="14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195" fontId="129" fillId="0" borderId="14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4" fillId="0" borderId="0"/>
    <xf numFmtId="296" fontId="22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3" fillId="0" borderId="122">
      <alignment vertical="center"/>
    </xf>
    <xf numFmtId="296" fontId="223"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9" fillId="0" borderId="0" applyFill="0" applyBorder="0">
      <alignment horizontal="left" vertical="top" wrapText="1"/>
    </xf>
    <xf numFmtId="0" fontId="129" fillId="0" borderId="0" applyFill="0" applyBorder="0">
      <alignment horizontal="left" vertical="top" wrapText="1"/>
    </xf>
    <xf numFmtId="3" fontId="183" fillId="0" borderId="122">
      <alignment vertical="center"/>
    </xf>
    <xf numFmtId="0" fontId="224" fillId="0" borderId="0">
      <alignment horizontal="left" vertical="top" wrapText="1"/>
    </xf>
    <xf numFmtId="0" fontId="225" fillId="0" borderId="0">
      <alignment horizontal="left" vertical="top" wrapText="1"/>
    </xf>
    <xf numFmtId="0" fontId="214" fillId="0" borderId="0">
      <alignment horizontal="left" vertical="top" wrapText="1"/>
    </xf>
    <xf numFmtId="3" fontId="226" fillId="80" borderId="64">
      <alignment horizontal="centerContinuous"/>
    </xf>
    <xf numFmtId="0" fontId="139" fillId="0" borderId="57" applyNumberFormat="0" applyFill="0" applyBorder="0" applyAlignment="0"/>
    <xf numFmtId="299" fontId="227" fillId="0" borderId="0"/>
    <xf numFmtId="0" fontId="2" fillId="0" borderId="0" applyNumberFormat="0" applyFont="0" applyFill="0" applyBorder="0" applyAlignment="0" applyProtection="0"/>
    <xf numFmtId="0" fontId="10" fillId="0" borderId="0"/>
    <xf numFmtId="38" fontId="175" fillId="0" borderId="0"/>
    <xf numFmtId="300" fontId="228"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3" fillId="0" borderId="122">
      <alignment vertical="center"/>
    </xf>
    <xf numFmtId="0" fontId="10" fillId="0" borderId="0"/>
    <xf numFmtId="0" fontId="229" fillId="0" borderId="0" applyFill="0" applyBorder="0" applyProtection="0">
      <alignment horizontal="left"/>
    </xf>
    <xf numFmtId="0" fontId="230" fillId="68" borderId="0"/>
    <xf numFmtId="37" fontId="231" fillId="68" borderId="0" applyNumberFormat="0" applyBorder="0" applyAlignment="0" applyProtection="0"/>
    <xf numFmtId="294" fontId="231" fillId="68" borderId="0" applyNumberFormat="0" applyBorder="0" applyAlignment="0" applyProtection="0"/>
    <xf numFmtId="3" fontId="183" fillId="0" borderId="122">
      <alignment vertical="center"/>
    </xf>
    <xf numFmtId="0" fontId="232"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3" fillId="0" borderId="12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02" fontId="2" fillId="0" borderId="0" applyFont="0" applyFill="0" applyBorder="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71" borderId="97" applyNumberFormat="0" applyFont="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33" fillId="0" borderId="0">
      <alignment horizontal="centerContinuous" vertical="center"/>
    </xf>
    <xf numFmtId="303" fontId="2" fillId="0" borderId="0" applyFont="0" applyFill="0" applyBorder="0" applyAlignment="0" applyProtection="0"/>
    <xf numFmtId="0" fontId="192" fillId="110" borderId="0">
      <alignment horizontal="left"/>
    </xf>
    <xf numFmtId="1" fontId="234" fillId="0" borderId="145">
      <alignment horizontal="left"/>
    </xf>
    <xf numFmtId="247" fontId="235"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7" fillId="118" borderId="0" applyNumberFormat="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39" fontId="147" fillId="118" borderId="0" applyNumberFormat="0" applyBorder="0" applyAlignment="0" applyProtection="0"/>
    <xf numFmtId="0" fontId="2" fillId="0" borderId="0" applyNumberFormat="0" applyFont="0" applyFill="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9" fillId="68" borderId="0" applyNumberFormat="0" applyBorder="0" applyAlignment="0" applyProtection="0"/>
    <xf numFmtId="0" fontId="19" fillId="68" borderId="0" applyNumberFormat="0" applyBorder="0" applyAlignment="0" applyProtection="0"/>
    <xf numFmtId="3" fontId="183" fillId="0" borderId="122">
      <alignment vertical="center"/>
    </xf>
    <xf numFmtId="38" fontId="147"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45" fillId="108" borderId="11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5" applyAlignment="0" applyProtection="0"/>
    <xf numFmtId="0" fontId="45" fillId="108" borderId="115" applyAlignment="0" applyProtection="0"/>
    <xf numFmtId="0" fontId="2" fillId="0" borderId="0" applyNumberFormat="0" applyFont="0" applyFill="0" applyBorder="0" applyAlignment="0" applyProtection="0"/>
    <xf numFmtId="0" fontId="2" fillId="68" borderId="11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Protection="0">
      <alignment horizontal="center" vertic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3" fontId="183" fillId="0" borderId="12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0" fontId="2" fillId="68" borderId="113" applyNumberFormat="0" applyFont="0" applyBorder="0" applyAlignment="0" applyProtection="0">
      <alignment horizontal="center"/>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45" fillId="68" borderId="125"/>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120" borderId="9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1" fillId="106" borderId="0" applyBorder="0" applyAlignment="0"/>
    <xf numFmtId="305" fontId="136"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41" fillId="121" borderId="114" applyNumberFormat="0" applyFont="0" applyBorder="0" applyAlignment="0">
      <alignment horizontal="centerContinuous"/>
    </xf>
    <xf numFmtId="0" fontId="236" fillId="0" borderId="0" applyProtection="0">
      <alignment horizontal="right"/>
    </xf>
    <xf numFmtId="0" fontId="236" fillId="0" borderId="0" applyProtection="0">
      <alignment horizontal="right"/>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41" fillId="121" borderId="114" applyNumberFormat="0" applyFont="0" applyBorder="0" applyAlignment="0">
      <alignment horizontal="centerContinuous"/>
    </xf>
    <xf numFmtId="0" fontId="236"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37" fillId="0" borderId="11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37" fillId="104"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38" fillId="0" borderId="146" applyNumberFormat="0" applyFill="0" applyAlignment="0" applyProtection="0"/>
    <xf numFmtId="0" fontId="238" fillId="0" borderId="146" applyNumberFormat="0" applyFill="0" applyAlignment="0" applyProtection="0"/>
    <xf numFmtId="0" fontId="238" fillId="0" borderId="146"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39" fillId="0" borderId="0" applyProtection="0">
      <alignment horizontal="left"/>
    </xf>
    <xf numFmtId="0" fontId="239" fillId="0" borderId="0" applyProtection="0">
      <alignment horizontal="left"/>
    </xf>
    <xf numFmtId="0" fontId="239" fillId="0" borderId="0" applyProtection="0">
      <alignment horizontal="left"/>
    </xf>
    <xf numFmtId="0" fontId="239" fillId="0" borderId="0" applyProtection="0">
      <alignment horizontal="left"/>
    </xf>
    <xf numFmtId="0" fontId="10" fillId="0" borderId="0"/>
    <xf numFmtId="0" fontId="10" fillId="0" borderId="0"/>
    <xf numFmtId="0" fontId="10" fillId="0" borderId="0"/>
    <xf numFmtId="0" fontId="10" fillId="0" borderId="0"/>
    <xf numFmtId="0" fontId="240" fillId="0" borderId="147" applyNumberFormat="0" applyFill="0" applyAlignment="0" applyProtection="0"/>
    <xf numFmtId="0" fontId="240" fillId="0" borderId="147" applyNumberFormat="0" applyFill="0" applyAlignment="0" applyProtection="0"/>
    <xf numFmtId="0" fontId="240" fillId="0" borderId="147" applyNumberFormat="0" applyFill="0" applyAlignment="0" applyProtection="0"/>
    <xf numFmtId="0" fontId="239"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0" applyProtection="0">
      <alignment horizontal="left"/>
    </xf>
    <xf numFmtId="0" fontId="239" fillId="0" borderId="0" applyProtection="0">
      <alignment horizontal="left"/>
    </xf>
    <xf numFmtId="0" fontId="239" fillId="0" borderId="0" applyProtection="0">
      <alignment horizontal="left"/>
    </xf>
    <xf numFmtId="0" fontId="239"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2" fillId="0" borderId="148" applyNumberFormat="0" applyFill="0" applyAlignment="0" applyProtection="0"/>
    <xf numFmtId="0" fontId="242" fillId="0" borderId="148" applyNumberFormat="0" applyFill="0" applyAlignment="0" applyProtection="0"/>
    <xf numFmtId="0" fontId="242" fillId="0" borderId="148" applyNumberFormat="0" applyFill="0" applyAlignment="0" applyProtection="0"/>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241"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2" fillId="0" borderId="0" applyNumberFormat="0" applyFill="0" applyBorder="0" applyAlignment="0" applyProtection="0"/>
    <xf numFmtId="0" fontId="242" fillId="0" borderId="0" applyNumberFormat="0" applyFill="0" applyBorder="0" applyAlignment="0" applyProtection="0"/>
    <xf numFmtId="0" fontId="24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09"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7"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3" applyFont="0" applyProtection="0">
      <alignment horizontal="right"/>
    </xf>
    <xf numFmtId="0" fontId="10" fillId="0" borderId="0"/>
    <xf numFmtId="3" fontId="2" fillId="70" borderId="113" applyFont="0" applyProtection="0">
      <alignment horizontal="right"/>
    </xf>
    <xf numFmtId="0" fontId="2" fillId="0" borderId="0" applyNumberFormat="0" applyFont="0" applyFill="0" applyBorder="0" applyAlignment="0" applyProtection="0"/>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70" borderId="113" applyFont="0" applyProtection="0">
      <alignment horizontal="right"/>
    </xf>
    <xf numFmtId="0" fontId="10" fillId="0" borderId="0"/>
    <xf numFmtId="10" fontId="2" fillId="70" borderId="113" applyFont="0" applyProtection="0">
      <alignment horizontal="right"/>
    </xf>
    <xf numFmtId="0" fontId="2" fillId="0" borderId="0" applyNumberFormat="0" applyFont="0" applyFill="0" applyBorder="0" applyAlignment="0" applyProtection="0"/>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10"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0" borderId="113" applyFont="0" applyProtection="0">
      <alignment horizontal="right"/>
    </xf>
    <xf numFmtId="0" fontId="10" fillId="0" borderId="0"/>
    <xf numFmtId="9" fontId="2" fillId="70" borderId="113" applyFont="0" applyProtection="0">
      <alignment horizontal="right"/>
    </xf>
    <xf numFmtId="0" fontId="2" fillId="0" borderId="0" applyNumberFormat="0" applyFont="0" applyFill="0" applyBorder="0" applyAlignment="0" applyProtection="0"/>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9" fontId="2" fillId="70" borderId="113" applyFont="0" applyProtection="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70" borderId="11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4" applyNumberFormat="0" applyFont="0" applyBorder="0" applyAlignment="0" applyProtection="0">
      <alignment horizontal="left"/>
    </xf>
    <xf numFmtId="0" fontId="2" fillId="0" borderId="0" applyNumberFormat="0" applyFont="0" applyFill="0" applyBorder="0" applyAlignment="0" applyProtection="0"/>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3" fontId="183" fillId="0" borderId="122">
      <alignment vertical="center"/>
    </xf>
    <xf numFmtId="0" fontId="2" fillId="0" borderId="0" applyNumberFormat="0" applyFont="0" applyFill="0" applyBorder="0" applyAlignment="0" applyProtection="0"/>
    <xf numFmtId="0" fontId="10" fillId="0" borderId="0"/>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0" fontId="2" fillId="70" borderId="114" applyNumberFormat="0" applyFont="0" applyBorder="0" applyAlignment="0" applyProtection="0">
      <alignment horizontal="left"/>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7" fontId="231" fillId="0" borderId="0" applyNumberFormat="0" applyBorder="0" applyAlignment="0" applyProtection="0"/>
    <xf numFmtId="294" fontId="231" fillId="0" borderId="0" applyNumberFormat="0" applyBorder="0" applyAlignment="0" applyProtection="0"/>
    <xf numFmtId="3" fontId="183" fillId="0" borderId="122">
      <alignment vertical="center"/>
    </xf>
    <xf numFmtId="37" fontId="45" fillId="0" borderId="0"/>
    <xf numFmtId="294" fontId="45" fillId="0" borderId="0"/>
    <xf numFmtId="3" fontId="183" fillId="0" borderId="122">
      <alignment vertical="center"/>
    </xf>
    <xf numFmtId="0" fontId="243"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7" fontId="24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1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13" applyNumberFormat="0" applyBorder="0" applyAlignment="0" applyProtection="0"/>
    <xf numFmtId="0" fontId="10" fillId="0" borderId="0"/>
    <xf numFmtId="10" fontId="19" fillId="102" borderId="113" applyNumberFormat="0" applyBorder="0" applyAlignment="0" applyProtection="0"/>
    <xf numFmtId="10" fontId="19" fillId="102" borderId="113" applyNumberFormat="0" applyBorder="0" applyAlignment="0" applyProtection="0"/>
    <xf numFmtId="10" fontId="19" fillId="102" borderId="113" applyNumberFormat="0" applyBorder="0" applyAlignment="0" applyProtection="0"/>
    <xf numFmtId="10" fontId="19" fillId="102" borderId="113" applyNumberFormat="0" applyBorder="0" applyAlignment="0" applyProtection="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10" fillId="0" borderId="0"/>
    <xf numFmtId="0" fontId="10" fillId="0" borderId="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49" fillId="72" borderId="13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2" fillId="0" borderId="0" applyNumberFormat="0" applyFont="0" applyFill="0" applyBorder="0" applyAlignment="0" applyProtection="0"/>
    <xf numFmtId="0" fontId="245" fillId="0" borderId="70">
      <protection locked="0"/>
    </xf>
    <xf numFmtId="0" fontId="245" fillId="0" borderId="70">
      <protection locked="0"/>
    </xf>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0" fontId="49" fillId="72" borderId="133" applyNumberFormat="0" applyAlignment="0" applyProtection="0"/>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45" fillId="0" borderId="70">
      <protection locked="0"/>
    </xf>
    <xf numFmtId="0" fontId="245" fillId="0" borderId="70">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5" fillId="83" borderId="149">
      <alignment horizontal="right" vertical="center"/>
      <protection locked="0"/>
    </xf>
    <xf numFmtId="309" fontId="245" fillId="83" borderId="149">
      <alignment horizontal="right" vertical="center"/>
      <protection locked="0"/>
    </xf>
    <xf numFmtId="309" fontId="245" fillId="83" borderId="149">
      <alignment horizontal="right" vertical="center"/>
      <protection locked="0"/>
    </xf>
    <xf numFmtId="0"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 fontId="207" fillId="124"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3" fillId="0" borderId="122">
      <alignment vertical="center"/>
    </xf>
    <xf numFmtId="310" fontId="2" fillId="71" borderId="113" applyFont="0" applyAlignment="0">
      <protection locked="0"/>
    </xf>
    <xf numFmtId="0" fontId="10" fillId="0" borderId="0"/>
    <xf numFmtId="310" fontId="2" fillId="71" borderId="113" applyFont="0" applyAlignment="0">
      <protection locked="0"/>
    </xf>
    <xf numFmtId="0" fontId="2" fillId="0" borderId="0" applyNumberFormat="0" applyFont="0" applyFill="0" applyBorder="0" applyAlignment="0" applyProtection="0"/>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 fontId="183" fillId="0" borderId="122">
      <alignment vertical="center"/>
    </xf>
    <xf numFmtId="0" fontId="2" fillId="0" borderId="0" applyNumberFormat="0" applyFont="0" applyFill="0" applyBorder="0" applyAlignment="0" applyProtection="0"/>
    <xf numFmtId="0" fontId="10" fillId="0" borderId="0"/>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10" fontId="2" fillId="71" borderId="113" applyFont="0" applyAlignment="0">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 fillId="71" borderId="113" applyFont="0">
      <alignment horizontal="right"/>
      <protection locked="0"/>
    </xf>
    <xf numFmtId="0" fontId="10" fillId="0" borderId="0"/>
    <xf numFmtId="3"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vertical="center"/>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71" borderId="113" applyFont="0">
      <alignment horizontal="right"/>
      <protection locked="0"/>
    </xf>
    <xf numFmtId="0" fontId="10" fillId="0" borderId="0"/>
    <xf numFmtId="259" fontId="2" fillId="71" borderId="113" applyFont="0">
      <alignment horizontal="right"/>
      <protection locked="0"/>
    </xf>
    <xf numFmtId="0" fontId="2" fillId="0" borderId="0" applyNumberFormat="0" applyFont="0" applyFill="0" applyBorder="0" applyAlignment="0" applyProtection="0"/>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259"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10" fontId="2" fillId="71" borderId="113" applyFont="0">
      <alignment horizontal="right"/>
      <protection locked="0"/>
    </xf>
    <xf numFmtId="0" fontId="10" fillId="0" borderId="0"/>
    <xf numFmtId="10" fontId="2" fillId="71" borderId="113" applyFont="0">
      <alignment horizontal="right"/>
      <protection locked="0"/>
    </xf>
    <xf numFmtId="0" fontId="2" fillId="0" borderId="0" applyNumberFormat="0" applyFont="0" applyFill="0" applyBorder="0" applyAlignment="0" applyProtection="0"/>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10" fontId="2" fillId="71"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1" borderId="11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7" applyFont="0">
      <alignment horizontal="right"/>
      <protection locked="0"/>
    </xf>
    <xf numFmtId="9" fontId="2" fillId="71" borderId="117" applyFont="0">
      <alignment horizontal="right"/>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7" applyFont="0">
      <alignment horizontal="right"/>
      <protection locked="0"/>
    </xf>
    <xf numFmtId="9" fontId="2" fillId="71" borderId="117" applyFont="0">
      <alignment horizontal="right"/>
      <protection locked="0"/>
    </xf>
    <xf numFmtId="9" fontId="2" fillId="71" borderId="117" applyFont="0">
      <alignment horizontal="right"/>
      <protection locked="0"/>
    </xf>
    <xf numFmtId="9" fontId="2" fillId="71" borderId="117" applyFont="0">
      <alignment horizontal="right"/>
      <protection locked="0"/>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71" borderId="113" applyFont="0">
      <alignment horizontal="center" wrapText="1"/>
      <protection locked="0"/>
    </xf>
    <xf numFmtId="0" fontId="10" fillId="0" borderId="0"/>
    <xf numFmtId="0" fontId="2" fillId="71" borderId="113" applyFont="0">
      <alignment horizontal="center" wrapText="1"/>
      <protection locked="0"/>
    </xf>
    <xf numFmtId="0" fontId="2" fillId="0" borderId="0" applyNumberFormat="0" applyFont="0" applyFill="0" applyBorder="0" applyAlignment="0" applyProtection="0"/>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0" fontId="2" fillId="71"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71" borderId="113" applyFont="0" applyAlignment="0">
      <protection locked="0"/>
    </xf>
    <xf numFmtId="0" fontId="10" fillId="0" borderId="0"/>
    <xf numFmtId="0" fontId="10" fillId="0" borderId="0"/>
    <xf numFmtId="3" fontId="183" fillId="0" borderId="122">
      <alignment vertical="center"/>
    </xf>
    <xf numFmtId="0" fontId="10" fillId="0" borderId="0"/>
    <xf numFmtId="0" fontId="10" fillId="0" borderId="0"/>
    <xf numFmtId="49" fontId="2" fillId="71" borderId="113" applyFont="0" applyAlignment="0">
      <protection locked="0"/>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8" fontId="234" fillId="0" borderId="0" applyNumberFormat="0" applyFill="0" applyBorder="0" applyAlignment="0" applyProtection="0"/>
    <xf numFmtId="0" fontId="2" fillId="0" borderId="0" applyNumberFormat="0" applyFont="0" applyFill="0" applyBorder="0" applyAlignment="0" applyProtection="0"/>
    <xf numFmtId="0" fontId="158"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57" fillId="53" borderId="0" applyNumberFormat="0" applyBorder="0" applyProtection="0">
      <alignment horizontal="center"/>
    </xf>
    <xf numFmtId="313" fontId="247"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14" fontId="2" fillId="0" borderId="0" applyFont="0" applyFill="0" applyBorder="0" applyAlignment="0" applyProtection="0"/>
    <xf numFmtId="315" fontId="24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16" fontId="134"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16" fontId="202" fillId="91" borderId="15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2" fillId="91"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8" fillId="0" borderId="0" applyNumberFormat="0" applyFill="0" applyBorder="0">
      <alignment horizontal="right"/>
    </xf>
    <xf numFmtId="0" fontId="249" fillId="0" borderId="0">
      <protection locked="0"/>
    </xf>
    <xf numFmtId="0" fontId="10" fillId="0" borderId="0"/>
    <xf numFmtId="38" fontId="175"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59" fontId="231"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43" fontId="37" fillId="68" borderId="0" applyNumberFormat="0" applyFont="0" applyBorder="0" applyAlignment="0"/>
    <xf numFmtId="0" fontId="2" fillId="68" borderId="0"/>
    <xf numFmtId="31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34"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1" fillId="0" borderId="0" applyNumberFormat="0" applyFill="0" applyBorder="0" applyAlignment="0" applyProtection="0"/>
    <xf numFmtId="0" fontId="252" fillId="0" borderId="0" applyNumberFormat="0" applyFill="0" applyBorder="0" applyAlignment="0" applyProtection="0"/>
    <xf numFmtId="0" fontId="253" fillId="0" borderId="0" applyNumberFormat="0" applyFill="0" applyBorder="0" applyAlignment="0" applyProtection="0"/>
    <xf numFmtId="17" fontId="254" fillId="0" borderId="123" applyAlignment="0" applyProtection="0">
      <alignment horizontal="centerContinuous"/>
    </xf>
    <xf numFmtId="19" fontId="254" fillId="0" borderId="123" applyAlignment="0" applyProtection="0">
      <alignment horizontal="centerContinuous"/>
    </xf>
    <xf numFmtId="3" fontId="183" fillId="0" borderId="122">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3" fillId="0" borderId="122">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2" fillId="110" borderId="0">
      <alignment horizontal="left"/>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10" fontId="9" fillId="125" borderId="96" applyBorder="0">
      <alignment horizontal="center"/>
      <protection locked="0"/>
    </xf>
    <xf numFmtId="0" fontId="10" fillId="0" borderId="0"/>
    <xf numFmtId="2" fontId="207" fillId="102" borderId="11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4"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4" applyNumberFormat="0" applyFill="0" applyBorder="0" applyAlignment="0"/>
    <xf numFmtId="17" fontId="45" fillId="126" borderId="124" applyNumberFormat="0" applyFill="0" applyBorder="0" applyAlignment="0"/>
    <xf numFmtId="3" fontId="183" fillId="0" borderId="122">
      <alignment vertical="center"/>
    </xf>
    <xf numFmtId="3" fontId="183" fillId="0" borderId="122">
      <alignment vertical="center"/>
    </xf>
    <xf numFmtId="0" fontId="199" fillId="0" borderId="0" applyNumberFormat="0" applyFont="0" applyBorder="0" applyAlignment="0"/>
    <xf numFmtId="0" fontId="199"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23" fontId="185" fillId="0" borderId="0">
      <alignment horizontal="right" vertical="center" wrapText="1"/>
    </xf>
    <xf numFmtId="324" fontId="185"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5"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5" fillId="72" borderId="0" applyNumberFormat="0" applyBorder="0" applyAlignment="0" applyProtection="0"/>
    <xf numFmtId="0" fontId="255" fillId="72" borderId="0" applyNumberFormat="0" applyBorder="0" applyAlignment="0" applyProtection="0"/>
    <xf numFmtId="0" fontId="255"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7" fontId="256" fillId="0" borderId="0"/>
    <xf numFmtId="294" fontId="256"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211" fillId="69" borderId="113"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6"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4"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3" fillId="0" borderId="12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7" fontId="175"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57" fillId="99" borderId="116">
      <alignment horizontal="center" vertical="top" wrapText="1"/>
    </xf>
    <xf numFmtId="0" fontId="257" fillId="99" borderId="116">
      <alignment horizontal="center" vertical="top" wrapText="1"/>
    </xf>
    <xf numFmtId="0" fontId="257" fillId="99" borderId="116">
      <alignment horizontal="center" vertical="top" wrapText="1"/>
    </xf>
    <xf numFmtId="0" fontId="257" fillId="99" borderId="11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xf numFmtId="0" fontId="2" fillId="0" borderId="115"/>
    <xf numFmtId="0" fontId="2" fillId="0" borderId="115"/>
    <xf numFmtId="0" fontId="2" fillId="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4"/>
    <xf numFmtId="0" fontId="45" fillId="70" borderId="114"/>
    <xf numFmtId="0" fontId="45" fillId="70" borderId="114"/>
    <xf numFmtId="0" fontId="45" fillId="7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6"/>
    <xf numFmtId="0" fontId="45" fillId="0" borderId="96"/>
    <xf numFmtId="0" fontId="45" fillId="0" borderId="9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6">
      <alignment horizontal="center" vertical="top"/>
    </xf>
    <xf numFmtId="0" fontId="257" fillId="127" borderId="11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4"/>
    <xf numFmtId="0" fontId="45" fillId="0" borderId="114"/>
    <xf numFmtId="0" fontId="45" fillId="0" borderId="114"/>
    <xf numFmtId="0" fontId="45" fillId="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6"/>
    <xf numFmtId="0" fontId="2" fillId="0" borderId="116"/>
    <xf numFmtId="0" fontId="2" fillId="0" borderId="116"/>
    <xf numFmtId="0" fontId="2" fillId="0" borderId="116"/>
    <xf numFmtId="0" fontId="2" fillId="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8" fillId="70" borderId="117"/>
    <xf numFmtId="0" fontId="258" fillId="7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alignment horizontal="center"/>
    </xf>
    <xf numFmtId="0" fontId="2" fillId="0" borderId="96">
      <alignment horizontal="center"/>
    </xf>
    <xf numFmtId="0" fontId="2" fillId="0" borderId="9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alignment horizontal="center"/>
    </xf>
    <xf numFmtId="0" fontId="2" fillId="0" borderId="97">
      <alignment horizontal="center"/>
    </xf>
    <xf numFmtId="0" fontId="2" fillId="0" borderId="97">
      <alignment horizontal="center"/>
    </xf>
    <xf numFmtId="0" fontId="2" fillId="0" borderId="9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6">
      <alignment horizontal="center" vertical="top" wrapText="1"/>
    </xf>
    <xf numFmtId="0" fontId="257" fillId="127" borderId="116">
      <alignment horizontal="center" vertical="top" wrapText="1"/>
    </xf>
    <xf numFmtId="0" fontId="257" fillId="127" borderId="116">
      <alignment horizontal="center" vertical="top" wrapText="1"/>
    </xf>
    <xf numFmtId="0" fontId="257" fillId="127" borderId="11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5"/>
    <xf numFmtId="3" fontId="2" fillId="0" borderId="115"/>
    <xf numFmtId="3" fontId="2" fillId="0" borderId="115"/>
    <xf numFmtId="3" fontId="2" fillId="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4">
      <alignment horizontal="center"/>
    </xf>
    <xf numFmtId="0" fontId="45" fillId="70" borderId="114">
      <alignment horizontal="center"/>
    </xf>
    <xf numFmtId="0" fontId="45" fillId="70" borderId="114">
      <alignment horizontal="center"/>
    </xf>
    <xf numFmtId="0" fontId="45" fillId="70" borderId="11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5">
      <alignment horizontal="center"/>
    </xf>
    <xf numFmtId="0" fontId="45" fillId="70" borderId="115">
      <alignment horizontal="center"/>
    </xf>
    <xf numFmtId="0" fontId="2" fillId="0" borderId="0" applyNumberFormat="0" applyFont="0" applyFill="0" applyBorder="0" applyAlignment="0" applyProtection="0"/>
    <xf numFmtId="0" fontId="45" fillId="70" borderId="116">
      <alignment horizontal="center"/>
    </xf>
    <xf numFmtId="0" fontId="45" fillId="70" borderId="116">
      <alignment horizontal="center"/>
    </xf>
    <xf numFmtId="0" fontId="45" fillId="70" borderId="116">
      <alignment horizontal="center"/>
    </xf>
    <xf numFmtId="0" fontId="45" fillId="70" borderId="11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6">
      <alignment horizontal="left" vertical="top"/>
    </xf>
    <xf numFmtId="0" fontId="45" fillId="70" borderId="96">
      <alignment horizontal="left" vertical="top"/>
    </xf>
    <xf numFmtId="0" fontId="45" fillId="70" borderId="9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27" borderId="115">
      <alignment horizontal="center" vertical="center"/>
    </xf>
    <xf numFmtId="0" fontId="257" fillId="127" borderId="115">
      <alignment horizontal="center" vertical="center"/>
    </xf>
    <xf numFmtId="0" fontId="2" fillId="0" borderId="0" applyNumberFormat="0" applyFont="0" applyFill="0" applyBorder="0" applyAlignment="0" applyProtection="0"/>
    <xf numFmtId="0" fontId="257" fillId="127" borderId="116">
      <alignment horizontal="center" vertical="center"/>
    </xf>
    <xf numFmtId="0" fontId="257" fillId="127" borderId="116">
      <alignment horizontal="center" vertical="center"/>
    </xf>
    <xf numFmtId="0" fontId="257" fillId="127" borderId="116">
      <alignment horizontal="center" vertical="center"/>
    </xf>
    <xf numFmtId="0" fontId="257" fillId="127" borderId="116">
      <alignment horizontal="center" vertical="center"/>
    </xf>
    <xf numFmtId="0" fontId="2" fillId="0" borderId="0" applyNumberFormat="0" applyFont="0" applyFill="0" applyBorder="0" applyAlignment="0" applyProtection="0"/>
    <xf numFmtId="0" fontId="257" fillId="99" borderId="114">
      <alignment horizontal="center" vertical="center"/>
    </xf>
    <xf numFmtId="0" fontId="257" fillId="99" borderId="114">
      <alignment horizontal="center" vertical="center"/>
    </xf>
    <xf numFmtId="0" fontId="257" fillId="99" borderId="114">
      <alignment horizontal="center" vertical="center"/>
    </xf>
    <xf numFmtId="0" fontId="257" fillId="99" borderId="11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99" borderId="115">
      <alignment horizontal="center" vertical="center"/>
    </xf>
    <xf numFmtId="0" fontId="257" fillId="99" borderId="115">
      <alignment horizontal="center" vertical="center"/>
    </xf>
    <xf numFmtId="0" fontId="2" fillId="0" borderId="0" applyNumberFormat="0" applyFont="0" applyFill="0" applyBorder="0" applyAlignment="0" applyProtection="0"/>
    <xf numFmtId="0" fontId="257" fillId="99" borderId="116">
      <alignment horizontal="center" vertical="center"/>
    </xf>
    <xf numFmtId="0" fontId="257" fillId="99" borderId="116">
      <alignment horizontal="center" vertical="center"/>
    </xf>
    <xf numFmtId="0" fontId="257" fillId="99" borderId="116">
      <alignment horizontal="center" vertical="center"/>
    </xf>
    <xf numFmtId="0" fontId="257" fillId="99" borderId="11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xf numFmtId="0" fontId="2" fillId="0" borderId="97"/>
    <xf numFmtId="0" fontId="2" fillId="0" borderId="97"/>
    <xf numFmtId="0" fontId="2" fillId="0" borderId="9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xf numFmtId="0" fontId="2"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9"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0" fontId="2"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71" fillId="73" borderId="139" applyNumberFormat="0" applyFont="0" applyAlignment="0" applyProtection="0"/>
    <xf numFmtId="0" fontId="2" fillId="0" borderId="0" applyNumberFormat="0" applyFont="0" applyFill="0" applyBorder="0" applyAlignment="0" applyProtection="0"/>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 fillId="73" borderId="139" applyNumberFormat="0" applyFont="0" applyAlignment="0" applyProtection="0"/>
    <xf numFmtId="0" fontId="2" fillId="73" borderId="139" applyNumberFormat="0" applyFont="0" applyAlignment="0" applyProtection="0"/>
    <xf numFmtId="3" fontId="183" fillId="0" borderId="122">
      <alignment vertical="center"/>
    </xf>
    <xf numFmtId="0" fontId="260"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29" fontId="246" fillId="0" borderId="0" applyProtection="0">
      <alignment horizontal="center"/>
    </xf>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211" fillId="0" borderId="70" applyNumberFormat="0" applyBorder="0" applyAlignment="0" applyProtection="0">
      <alignment horizontal="right"/>
      <protection locked="0"/>
    </xf>
    <xf numFmtId="0" fontId="159" fillId="128" borderId="0" applyNumberFormat="0" applyFont="0" applyBorder="0" applyAlignment="0"/>
    <xf numFmtId="0" fontId="2" fillId="0" borderId="0" applyNumberFormat="0" applyFont="0" applyFill="0" applyBorder="0" applyAlignment="0" applyProtection="0"/>
    <xf numFmtId="3" fontId="2" fillId="74" borderId="113">
      <alignment horizontal="right"/>
      <protection locked="0"/>
    </xf>
    <xf numFmtId="0" fontId="10" fillId="0" borderId="0"/>
    <xf numFmtId="3" fontId="2" fillId="74" borderId="113">
      <alignment horizontal="right"/>
      <protection locked="0"/>
    </xf>
    <xf numFmtId="0" fontId="2" fillId="0" borderId="0" applyNumberFormat="0" applyFont="0" applyFill="0" applyBorder="0" applyAlignment="0" applyProtection="0"/>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74" borderId="113">
      <alignment horizontal="right"/>
      <protection locked="0"/>
    </xf>
    <xf numFmtId="0" fontId="10" fillId="0" borderId="0"/>
    <xf numFmtId="259" fontId="2" fillId="74" borderId="113">
      <alignment horizontal="right"/>
      <protection locked="0"/>
    </xf>
    <xf numFmtId="0" fontId="2" fillId="0" borderId="0" applyNumberFormat="0" applyFont="0" applyFill="0" applyBorder="0" applyAlignment="0" applyProtection="0"/>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25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74" borderId="113" applyFont="0">
      <alignment horizontal="right"/>
      <protection locked="0"/>
    </xf>
    <xf numFmtId="0" fontId="10" fillId="0" borderId="0"/>
    <xf numFmtId="10" fontId="2" fillId="74" borderId="113" applyFont="0">
      <alignment horizontal="right"/>
      <protection locked="0"/>
    </xf>
    <xf numFmtId="0" fontId="2" fillId="0" borderId="0" applyNumberFormat="0" applyFont="0" applyFill="0" applyBorder="0" applyAlignment="0" applyProtection="0"/>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10" fontId="2" fillId="74" borderId="113" applyFont="0">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74" borderId="113">
      <alignment horizontal="right"/>
      <protection locked="0"/>
    </xf>
    <xf numFmtId="0" fontId="10" fillId="0" borderId="0"/>
    <xf numFmtId="9" fontId="2" fillId="74" borderId="113">
      <alignment horizontal="right"/>
      <protection locked="0"/>
    </xf>
    <xf numFmtId="0" fontId="2" fillId="0" borderId="0" applyNumberFormat="0" applyFont="0" applyFill="0" applyBorder="0" applyAlignment="0" applyProtection="0"/>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9" fontId="2" fillId="74" borderId="113">
      <alignment horizontal="right"/>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330" fontId="2" fillId="74" borderId="11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74" borderId="113">
      <alignment horizontal="center" wrapText="1"/>
    </xf>
    <xf numFmtId="0" fontId="10" fillId="0" borderId="0"/>
    <xf numFmtId="0" fontId="2" fillId="74" borderId="113">
      <alignment horizontal="center" wrapText="1"/>
    </xf>
    <xf numFmtId="0" fontId="2" fillId="0" borderId="0" applyNumberFormat="0" applyFont="0" applyFill="0" applyBorder="0" applyAlignment="0" applyProtection="0"/>
    <xf numFmtId="0" fontId="2" fillId="74" borderId="113">
      <alignment horizontal="center" wrapText="1"/>
    </xf>
    <xf numFmtId="0" fontId="2" fillId="74" borderId="113">
      <alignment horizontal="center" wrapText="1"/>
    </xf>
    <xf numFmtId="0" fontId="2" fillId="74" borderId="113">
      <alignment horizontal="center" wrapText="1"/>
    </xf>
    <xf numFmtId="0" fontId="2" fillId="74" borderId="113">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2" fillId="74" borderId="113">
      <alignment horizontal="center" wrapText="1"/>
    </xf>
    <xf numFmtId="0" fontId="2" fillId="74" borderId="113">
      <alignment horizontal="center" wrapText="1"/>
    </xf>
    <xf numFmtId="0" fontId="2" fillId="74" borderId="113">
      <alignment horizontal="center" wrapText="1"/>
    </xf>
    <xf numFmtId="0" fontId="2" fillId="74" borderId="113">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74" borderId="113" applyNumberFormat="0" applyFont="0">
      <alignment horizontal="center" wrapText="1"/>
      <protection locked="0"/>
    </xf>
    <xf numFmtId="0" fontId="10" fillId="0" borderId="0"/>
    <xf numFmtId="0" fontId="2" fillId="74" borderId="113" applyNumberFormat="0" applyFont="0">
      <alignment horizontal="center" wrapText="1"/>
      <protection locked="0"/>
    </xf>
    <xf numFmtId="0" fontId="2" fillId="0" borderId="0" applyNumberFormat="0" applyFont="0" applyFill="0" applyBorder="0" applyAlignment="0" applyProtection="0"/>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0" fontId="2" fillId="74" borderId="113" applyNumberFormat="0"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66"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68" fillId="63" borderId="152" applyNumberFormat="0" applyAlignment="0" applyProtection="0"/>
    <xf numFmtId="0" fontId="10" fillId="0" borderId="0"/>
    <xf numFmtId="0" fontId="10" fillId="0" borderId="0"/>
    <xf numFmtId="0" fontId="10" fillId="0" borderId="0"/>
    <xf numFmtId="0" fontId="10" fillId="0" borderId="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6" fillId="104"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52" applyNumberFormat="0" applyAlignment="0" applyProtection="0"/>
    <xf numFmtId="0" fontId="66" fillId="104" borderId="152" applyNumberFormat="0" applyAlignment="0" applyProtection="0"/>
    <xf numFmtId="0" fontId="2" fillId="0" borderId="0" applyNumberFormat="0" applyFont="0" applyFill="0" applyBorder="0" applyAlignment="0" applyProtection="0"/>
    <xf numFmtId="0" fontId="68" fillId="63" borderId="152" applyNumberFormat="0" applyAlignment="0" applyProtection="0"/>
    <xf numFmtId="0" fontId="68"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2" applyNumberFormat="0" applyAlignment="0" applyProtection="0"/>
    <xf numFmtId="0" fontId="68" fillId="63" borderId="152" applyNumberFormat="0" applyAlignment="0" applyProtection="0"/>
    <xf numFmtId="173" fontId="207" fillId="129"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31"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5" fillId="0" borderId="0" applyFont="0" applyFill="0" applyBorder="0" applyAlignment="0">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1" fillId="57"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3" fontId="262" fillId="130" borderId="11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263" fillId="0" borderId="0" applyFill="0" applyBorder="0" applyProtection="0">
      <alignment horizontal="left"/>
    </xf>
    <xf numFmtId="0" fontId="264" fillId="0" borderId="0" applyFill="0" applyBorder="0" applyProtection="0">
      <alignment horizontal="left"/>
    </xf>
    <xf numFmtId="1" fontId="265"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74" borderId="0" applyNumberFormat="0" applyFont="0" applyBorder="0" applyAlignment="0" applyProtection="0"/>
    <xf numFmtId="0" fontId="19" fillId="126" borderId="70" applyNumberFormat="0" applyFont="0" applyBorder="0" applyAlignment="0" applyProtection="0">
      <alignment horizontal="center"/>
    </xf>
    <xf numFmtId="0" fontId="19" fillId="12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9" fillId="91" borderId="70" applyNumberFormat="0" applyFont="0" applyBorder="0" applyAlignment="0" applyProtection="0">
      <alignment horizontal="center"/>
    </xf>
    <xf numFmtId="0" fontId="19" fillId="9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34"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0"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5"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10" fontId="2" fillId="0" borderId="15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27"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67"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3" fillId="0" borderId="12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8" fillId="0" borderId="0">
      <protection locked="0"/>
    </xf>
    <xf numFmtId="0" fontId="268"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45" fillId="87"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7" fontId="269" fillId="0" borderId="0" applyNumberFormat="0" applyFill="0" applyBorder="0" applyAlignment="0" applyProtection="0"/>
    <xf numFmtId="294" fontId="269" fillId="0" borderId="0" applyNumberFormat="0" applyFill="0" applyBorder="0" applyAlignment="0" applyProtection="0"/>
    <xf numFmtId="3" fontId="183" fillId="0" borderId="122">
      <alignment vertical="center"/>
    </xf>
    <xf numFmtId="0" fontId="10" fillId="0" borderId="0"/>
    <xf numFmtId="0" fontId="151" fillId="106"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 fontId="2" fillId="90" borderId="113"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3" fillId="0" borderId="0"/>
    <xf numFmtId="0" fontId="10" fillId="0" borderId="0"/>
    <xf numFmtId="38" fontId="270" fillId="0" borderId="0">
      <alignment horizontal="center"/>
    </xf>
    <xf numFmtId="0" fontId="10" fillId="0" borderId="0"/>
    <xf numFmtId="0" fontId="271" fillId="45" borderId="11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165" fontId="272" fillId="0" borderId="0">
      <alignment horizontal="right"/>
    </xf>
    <xf numFmtId="0" fontId="10" fillId="0" borderId="0"/>
    <xf numFmtId="0" fontId="2" fillId="0" borderId="15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9"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73" fillId="83" borderId="152" applyNumberFormat="0" applyProtection="0">
      <alignment vertical="center"/>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4" fontId="29" fillId="83"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88"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2"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9"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4"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97"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1"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00"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131"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29" fillId="93" borderId="152" applyNumberFormat="0" applyProtection="0">
      <alignment horizontal="right" vertical="center"/>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162" fillId="132" borderId="152"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9" fillId="133" borderId="159" applyNumberFormat="0" applyProtection="0">
      <alignment horizontal="left" vertical="center" indent="1"/>
    </xf>
    <xf numFmtId="4" fontId="274" fillId="134" borderId="0"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3"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4" fontId="29"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2" fillId="135" borderId="152" applyNumberFormat="0" applyProtection="0">
      <alignment horizontal="left" vertical="center" indent="1"/>
    </xf>
    <xf numFmtId="0" fontId="45" fillId="128" borderId="16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60" applyNumberFormat="0" applyProtection="0">
      <alignment horizontal="left" vertical="center" indent="1"/>
    </xf>
    <xf numFmtId="0" fontId="45" fillId="128" borderId="160" applyNumberFormat="0" applyProtection="0">
      <alignment horizontal="left" vertical="center" indent="1"/>
    </xf>
    <xf numFmtId="0" fontId="2" fillId="0" borderId="0" applyNumberFormat="0" applyFont="0" applyFill="0" applyBorder="0" applyAlignment="0" applyProtection="0"/>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10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68"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9"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73" fillId="102" borderId="152" applyNumberFormat="0" applyProtection="0">
      <alignment vertical="center"/>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4" fontId="29" fillId="102" borderId="152" applyNumberFormat="0" applyProtection="0">
      <alignment horizontal="left" vertical="center" indent="1"/>
    </xf>
    <xf numFmtId="339" fontId="29" fillId="126" borderId="160" applyProtection="0">
      <alignment horizontal="right" vertical="center"/>
    </xf>
    <xf numFmtId="339" fontId="29" fillId="126" borderId="16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60" applyProtection="0">
      <alignment horizontal="right" vertical="center"/>
    </xf>
    <xf numFmtId="339" fontId="29" fillId="126" borderId="160" applyProtection="0">
      <alignment horizontal="right" vertical="center"/>
    </xf>
    <xf numFmtId="339" fontId="29" fillId="126" borderId="16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4" fontId="273" fillId="133" borderId="152" applyNumberFormat="0" applyProtection="0">
      <alignment horizontal="right" vertical="center"/>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 fillId="87" borderId="152" applyNumberFormat="0" applyProtection="0">
      <alignment horizontal="left" vertical="center" indent="1"/>
    </xf>
    <xf numFmtId="0" fontId="275" fillId="0" borderId="0"/>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4" fontId="180" fillId="133" borderId="15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276" fillId="0" borderId="0"/>
    <xf numFmtId="340" fontId="134" fillId="0" borderId="0"/>
    <xf numFmtId="341" fontId="134" fillId="0" borderId="0"/>
    <xf numFmtId="0" fontId="184" fillId="0" borderId="27"/>
    <xf numFmtId="0" fontId="277" fillId="71" borderId="10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8" fillId="136" borderId="0"/>
    <xf numFmtId="0" fontId="279" fillId="136" borderId="0"/>
    <xf numFmtId="0" fontId="280" fillId="136" borderId="161">
      <alignment horizontal="right"/>
    </xf>
    <xf numFmtId="0" fontId="280" fillId="136" borderId="0"/>
    <xf numFmtId="0" fontId="278" fillId="69" borderId="161">
      <protection locked="0"/>
    </xf>
    <xf numFmtId="0" fontId="278" fillId="136" borderId="0"/>
    <xf numFmtId="0" fontId="281" fillId="71" borderId="0"/>
    <xf numFmtId="0" fontId="281" fillId="93" borderId="0"/>
    <xf numFmtId="0" fontId="281"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2" fillId="0" borderId="0">
      <alignment horizontal="right"/>
    </xf>
    <xf numFmtId="0" fontId="205" fillId="0" borderId="0"/>
    <xf numFmtId="164" fontId="175" fillId="137" borderId="0" applyNumberFormat="0" applyFont="0"/>
    <xf numFmtId="0" fontId="134" fillId="138" borderId="0" applyNumberFormat="0" applyFont="0" applyBorder="0" applyAlignment="0" applyProtection="0"/>
    <xf numFmtId="345" fontId="282" fillId="0" borderId="0" applyFont="0" applyFill="0" applyBorder="0" applyAlignment="0" applyProtection="0"/>
    <xf numFmtId="1" fontId="2" fillId="0" borderId="0"/>
    <xf numFmtId="346" fontId="2" fillId="69" borderId="113">
      <alignment horizontal="center"/>
    </xf>
    <xf numFmtId="0" fontId="10" fillId="0" borderId="0"/>
    <xf numFmtId="346" fontId="2" fillId="69" borderId="113">
      <alignment horizontal="center"/>
    </xf>
    <xf numFmtId="0" fontId="2" fillId="0" borderId="0" applyNumberFormat="0" applyFont="0" applyFill="0" applyBorder="0" applyAlignment="0" applyProtection="0"/>
    <xf numFmtId="346" fontId="2" fillId="69" borderId="113">
      <alignment horizontal="center"/>
    </xf>
    <xf numFmtId="346" fontId="2" fillId="69" borderId="113">
      <alignment horizontal="center"/>
    </xf>
    <xf numFmtId="346" fontId="2" fillId="69" borderId="113">
      <alignment horizontal="center"/>
    </xf>
    <xf numFmtId="346" fontId="2" fillId="69" borderId="113">
      <alignment horizontal="center"/>
    </xf>
    <xf numFmtId="3" fontId="183" fillId="0" borderId="122">
      <alignment vertical="center"/>
    </xf>
    <xf numFmtId="0" fontId="2" fillId="0" borderId="0" applyNumberFormat="0" applyFont="0" applyFill="0" applyBorder="0" applyAlignment="0" applyProtection="0"/>
    <xf numFmtId="0" fontId="10" fillId="0" borderId="0"/>
    <xf numFmtId="346" fontId="2" fillId="69" borderId="113">
      <alignment horizontal="center"/>
    </xf>
    <xf numFmtId="346" fontId="2" fillId="69" borderId="113">
      <alignment horizontal="center"/>
    </xf>
    <xf numFmtId="346" fontId="2" fillId="69" borderId="113">
      <alignment horizontal="center"/>
    </xf>
    <xf numFmtId="346" fontId="2" fillId="69" borderId="113">
      <alignment horizontal="center"/>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 fontId="2" fillId="69" borderId="113" applyFont="0">
      <alignment horizontal="right"/>
    </xf>
    <xf numFmtId="0" fontId="10" fillId="0" borderId="0"/>
    <xf numFmtId="3" fontId="2" fillId="69" borderId="11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3" applyFont="0">
      <alignment horizontal="right" vertical="center"/>
    </xf>
    <xf numFmtId="3" fontId="2" fillId="69" borderId="113" applyFont="0">
      <alignment horizontal="right" vertical="center"/>
    </xf>
    <xf numFmtId="3" fontId="2" fillId="69" borderId="113" applyFont="0">
      <alignment horizontal="right" vertical="center"/>
    </xf>
    <xf numFmtId="3" fontId="2" fillId="69" borderId="113" applyFont="0">
      <alignment horizontal="right" vertical="center"/>
    </xf>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2" fillId="69" borderId="113" applyFont="0">
      <alignment horizontal="right"/>
    </xf>
    <xf numFmtId="3" fontId="2" fillId="69" borderId="113" applyFont="0">
      <alignment horizontal="right"/>
    </xf>
    <xf numFmtId="3" fontId="2" fillId="69" borderId="113" applyFont="0">
      <alignment horizontal="right"/>
    </xf>
    <xf numFmtId="3"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87" fontId="2" fillId="69" borderId="113" applyFont="0">
      <alignment horizontal="right"/>
    </xf>
    <xf numFmtId="0" fontId="10" fillId="0" borderId="0"/>
    <xf numFmtId="187" fontId="2" fillId="69" borderId="113" applyFont="0">
      <alignment horizontal="right"/>
    </xf>
    <xf numFmtId="0" fontId="2" fillId="0" borderId="0" applyNumberFormat="0" applyFont="0" applyFill="0" applyBorder="0" applyAlignment="0" applyProtection="0"/>
    <xf numFmtId="187" fontId="2" fillId="69" borderId="113" applyFont="0">
      <alignment horizontal="right"/>
    </xf>
    <xf numFmtId="187" fontId="2" fillId="69" borderId="113" applyFont="0">
      <alignment horizontal="right"/>
    </xf>
    <xf numFmtId="187" fontId="2" fillId="69" borderId="113" applyFont="0">
      <alignment horizontal="right"/>
    </xf>
    <xf numFmtId="187"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87" fontId="2" fillId="69" borderId="113" applyFont="0">
      <alignment horizontal="right"/>
    </xf>
    <xf numFmtId="187" fontId="2" fillId="69" borderId="113" applyFont="0">
      <alignment horizontal="right"/>
    </xf>
    <xf numFmtId="187" fontId="2" fillId="69" borderId="113" applyFont="0">
      <alignment horizontal="right"/>
    </xf>
    <xf numFmtId="187"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69" borderId="113" applyFont="0">
      <alignment horizontal="right"/>
    </xf>
    <xf numFmtId="0" fontId="10" fillId="0" borderId="0"/>
    <xf numFmtId="259" fontId="2" fillId="69" borderId="113" applyFont="0">
      <alignment horizontal="right"/>
    </xf>
    <xf numFmtId="0" fontId="2" fillId="0" borderId="0" applyNumberFormat="0" applyFont="0" applyFill="0" applyBorder="0" applyAlignment="0" applyProtection="0"/>
    <xf numFmtId="259" fontId="2" fillId="69" borderId="113" applyFont="0">
      <alignment horizontal="right"/>
    </xf>
    <xf numFmtId="259" fontId="2" fillId="69" borderId="113" applyFont="0">
      <alignment horizontal="right"/>
    </xf>
    <xf numFmtId="259" fontId="2" fillId="69" borderId="113" applyFont="0">
      <alignment horizontal="right"/>
    </xf>
    <xf numFmtId="25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259" fontId="2" fillId="69" borderId="113" applyFont="0">
      <alignment horizontal="right"/>
    </xf>
    <xf numFmtId="259" fontId="2" fillId="69" borderId="113" applyFont="0">
      <alignment horizontal="right"/>
    </xf>
    <xf numFmtId="259" fontId="2" fillId="69" borderId="113" applyFont="0">
      <alignment horizontal="right"/>
    </xf>
    <xf numFmtId="25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69" borderId="113" applyFont="0">
      <alignment horizontal="right"/>
    </xf>
    <xf numFmtId="0" fontId="10" fillId="0" borderId="0"/>
    <xf numFmtId="10" fontId="2" fillId="69" borderId="113" applyFont="0">
      <alignment horizontal="right"/>
    </xf>
    <xf numFmtId="0" fontId="2" fillId="0" borderId="0" applyNumberFormat="0" applyFont="0" applyFill="0" applyBorder="0" applyAlignment="0" applyProtection="0"/>
    <xf numFmtId="10" fontId="2" fillId="69" borderId="113" applyFont="0">
      <alignment horizontal="right"/>
    </xf>
    <xf numFmtId="10" fontId="2" fillId="69" borderId="113" applyFont="0">
      <alignment horizontal="right"/>
    </xf>
    <xf numFmtId="10" fontId="2" fillId="69" borderId="113" applyFont="0">
      <alignment horizontal="right"/>
    </xf>
    <xf numFmtId="10"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69" borderId="113" applyFont="0">
      <alignment horizontal="right"/>
    </xf>
    <xf numFmtId="10" fontId="2" fillId="69" borderId="113" applyFont="0">
      <alignment horizontal="right"/>
    </xf>
    <xf numFmtId="10" fontId="2" fillId="69" borderId="113" applyFont="0">
      <alignment horizontal="right"/>
    </xf>
    <xf numFmtId="10"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69" borderId="113" applyFont="0">
      <alignment horizontal="right"/>
    </xf>
    <xf numFmtId="0" fontId="10" fillId="0" borderId="0"/>
    <xf numFmtId="9" fontId="2" fillId="69" borderId="113" applyFont="0">
      <alignment horizontal="right"/>
    </xf>
    <xf numFmtId="0" fontId="2" fillId="0" borderId="0" applyNumberFormat="0" applyFont="0" applyFill="0" applyBorder="0" applyAlignment="0" applyProtection="0"/>
    <xf numFmtId="9" fontId="2" fillId="69" borderId="113" applyFont="0">
      <alignment horizontal="right"/>
    </xf>
    <xf numFmtId="9" fontId="2" fillId="69" borderId="113" applyFont="0">
      <alignment horizontal="right"/>
    </xf>
    <xf numFmtId="9" fontId="2" fillId="69" borderId="113" applyFont="0">
      <alignment horizontal="right"/>
    </xf>
    <xf numFmtId="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69" borderId="113" applyFont="0">
      <alignment horizontal="right"/>
    </xf>
    <xf numFmtId="9" fontId="2" fillId="69" borderId="113" applyFont="0">
      <alignment horizontal="right"/>
    </xf>
    <xf numFmtId="9" fontId="2" fillId="69" borderId="113" applyFont="0">
      <alignment horizontal="right"/>
    </xf>
    <xf numFmtId="9" fontId="2" fillId="6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47" fontId="2" fillId="69" borderId="113" applyFont="0">
      <alignment horizontal="center" wrapText="1"/>
    </xf>
    <xf numFmtId="0" fontId="10" fillId="0" borderId="0"/>
    <xf numFmtId="347" fontId="2" fillId="69" borderId="113" applyFont="0">
      <alignment horizontal="center" wrapText="1"/>
    </xf>
    <xf numFmtId="0" fontId="2" fillId="0" borderId="0" applyNumberFormat="0" applyFont="0" applyFill="0" applyBorder="0" applyAlignment="0" applyProtection="0"/>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47" fontId="2" fillId="6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65" fontId="283"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4" fillId="100" borderId="162" applyNumberFormat="0" applyBorder="0">
      <alignment horizontal="centerContinuous"/>
    </xf>
    <xf numFmtId="0" fontId="284" fillId="100" borderId="162" applyNumberFormat="0" applyBorder="0">
      <alignment horizontal="centerContinuous"/>
    </xf>
    <xf numFmtId="0" fontId="284" fillId="100" borderId="162" applyNumberFormat="0" applyBorder="0">
      <alignment horizontal="centerContinuous"/>
    </xf>
    <xf numFmtId="0" fontId="284" fillId="100" borderId="162" applyNumberFormat="0" applyBorder="0">
      <alignment horizontal="centerContinuous"/>
    </xf>
    <xf numFmtId="38" fontId="147" fillId="0" borderId="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66" fillId="63"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45" fillId="0" borderId="0" applyNumberFormat="0"/>
    <xf numFmtId="0" fontId="10" fillId="0" borderId="0"/>
    <xf numFmtId="165" fontId="285"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5" applyBorder="0"/>
    <xf numFmtId="3" fontId="2" fillId="68" borderId="115" applyBorder="0"/>
    <xf numFmtId="3" fontId="2" fillId="68" borderId="115" applyBorder="0"/>
    <xf numFmtId="3" fontId="2" fillId="68" borderId="115" applyBorder="0"/>
    <xf numFmtId="3" fontId="2" fillId="68" borderId="115" applyBorder="0"/>
    <xf numFmtId="0" fontId="10" fillId="0" borderId="0"/>
    <xf numFmtId="220" fontId="134"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6" fillId="0" borderId="0"/>
    <xf numFmtId="343"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7"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5" fillId="68" borderId="0">
      <alignment horizontal="center"/>
    </xf>
    <xf numFmtId="0" fontId="2" fillId="0" borderId="0" applyNumberFormat="0" applyFont="0" applyFill="0" applyBorder="0" applyAlignment="0" applyProtection="0"/>
    <xf numFmtId="0" fontId="10" fillId="0" borderId="0"/>
    <xf numFmtId="235" fontId="285"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4" fillId="0" borderId="0"/>
    <xf numFmtId="40" fontId="288" fillId="0" borderId="0" applyBorder="0">
      <alignment horizontal="right"/>
    </xf>
    <xf numFmtId="0" fontId="289" fillId="0" borderId="0" applyNumberFormat="0" applyFont="0" applyBorder="0" applyAlignment="0">
      <alignment horizontal="left"/>
    </xf>
    <xf numFmtId="0" fontId="134" fillId="0" borderId="113" applyNumberFormat="0" applyFont="0" applyFill="0" applyBorder="0" applyAlignment="0">
      <protection hidden="1"/>
    </xf>
    <xf numFmtId="0" fontId="10" fillId="0" borderId="0"/>
    <xf numFmtId="0" fontId="134" fillId="0" borderId="113" applyNumberFormat="0" applyFont="0" applyFill="0" applyBorder="0" applyAlignment="0">
      <protection hidden="1"/>
    </xf>
    <xf numFmtId="0" fontId="10" fillId="0" borderId="0"/>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3" fontId="183" fillId="0" borderId="122">
      <alignment vertical="center"/>
    </xf>
    <xf numFmtId="0" fontId="2" fillId="0" borderId="0" applyNumberFormat="0" applyFont="0" applyFill="0" applyBorder="0" applyAlignment="0" applyProtection="0"/>
    <xf numFmtId="0" fontId="10" fillId="0" borderId="0"/>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0" fontId="134" fillId="0" borderId="113" applyNumberFormat="0" applyFont="0" applyFill="0" applyBorder="0" applyAlignment="0">
      <protection hidden="1"/>
    </xf>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 fontId="2" fillId="139" borderId="113" applyFont="0">
      <alignment horizontal="right"/>
    </xf>
    <xf numFmtId="0" fontId="10" fillId="0" borderId="0"/>
    <xf numFmtId="1" fontId="2" fillId="139" borderId="113" applyFont="0">
      <alignment horizontal="right"/>
    </xf>
    <xf numFmtId="0" fontId="2" fillId="0" borderId="0" applyNumberFormat="0" applyFont="0" applyFill="0" applyBorder="0" applyAlignment="0" applyProtection="0"/>
    <xf numFmtId="1" fontId="2" fillId="139" borderId="113" applyFont="0">
      <alignment horizontal="right"/>
    </xf>
    <xf numFmtId="1" fontId="2" fillId="139" borderId="113" applyFont="0">
      <alignment horizontal="right"/>
    </xf>
    <xf numFmtId="1" fontId="2" fillId="139" borderId="113" applyFont="0">
      <alignment horizontal="right"/>
    </xf>
    <xf numFmtId="1"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 fontId="2" fillId="139" borderId="113" applyFont="0">
      <alignment horizontal="right"/>
    </xf>
    <xf numFmtId="1" fontId="2" fillId="139" borderId="113" applyFont="0">
      <alignment horizontal="right"/>
    </xf>
    <xf numFmtId="1" fontId="2" fillId="139" borderId="113" applyFont="0">
      <alignment horizontal="right"/>
    </xf>
    <xf numFmtId="1"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3" fontId="2" fillId="139" borderId="113" applyFont="0"/>
    <xf numFmtId="0" fontId="10" fillId="0" borderId="0"/>
    <xf numFmtId="303" fontId="2" fillId="139" borderId="113" applyFont="0"/>
    <xf numFmtId="0" fontId="2" fillId="0" borderId="0" applyNumberFormat="0" applyFont="0" applyFill="0" applyBorder="0" applyAlignment="0" applyProtection="0"/>
    <xf numFmtId="303" fontId="2" fillId="139" borderId="113" applyFont="0"/>
    <xf numFmtId="303" fontId="2" fillId="139" borderId="113" applyFont="0"/>
    <xf numFmtId="303" fontId="2" fillId="139" borderId="113" applyFont="0"/>
    <xf numFmtId="303" fontId="2" fillId="139"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139" borderId="113" applyFont="0"/>
    <xf numFmtId="303" fontId="2" fillId="139" borderId="113" applyFont="0"/>
    <xf numFmtId="303" fontId="2" fillId="139" borderId="113" applyFont="0"/>
    <xf numFmtId="303" fontId="2" fillId="139"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139" borderId="113" applyFont="0">
      <alignment horizontal="right"/>
    </xf>
    <xf numFmtId="0" fontId="10" fillId="0" borderId="0"/>
    <xf numFmtId="9" fontId="2" fillId="139" borderId="113" applyFont="0">
      <alignment horizontal="right"/>
    </xf>
    <xf numFmtId="0" fontId="2" fillId="0" borderId="0" applyNumberFormat="0" applyFont="0" applyFill="0" applyBorder="0" applyAlignment="0" applyProtection="0"/>
    <xf numFmtId="9" fontId="2" fillId="139" borderId="113" applyFont="0">
      <alignment horizontal="right"/>
    </xf>
    <xf numFmtId="9" fontId="2" fillId="139" borderId="113" applyFont="0">
      <alignment horizontal="right"/>
    </xf>
    <xf numFmtId="9" fontId="2" fillId="139" borderId="113" applyFont="0">
      <alignment horizontal="right"/>
    </xf>
    <xf numFmtId="9"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139" borderId="113" applyFont="0">
      <alignment horizontal="right"/>
    </xf>
    <xf numFmtId="9" fontId="2" fillId="139" borderId="113" applyFont="0">
      <alignment horizontal="right"/>
    </xf>
    <xf numFmtId="9" fontId="2" fillId="139" borderId="113" applyFont="0">
      <alignment horizontal="right"/>
    </xf>
    <xf numFmtId="9"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0" fontId="2" fillId="139" borderId="113" applyFont="0">
      <alignment horizontal="right"/>
    </xf>
    <xf numFmtId="0" fontId="10" fillId="0" borderId="0"/>
    <xf numFmtId="330" fontId="2" fillId="139" borderId="113" applyFont="0">
      <alignment horizontal="right"/>
    </xf>
    <xf numFmtId="0" fontId="2" fillId="0" borderId="0" applyNumberFormat="0" applyFont="0" applyFill="0" applyBorder="0" applyAlignment="0" applyProtection="0"/>
    <xf numFmtId="330" fontId="2" fillId="139" borderId="113" applyFont="0">
      <alignment horizontal="right"/>
    </xf>
    <xf numFmtId="330" fontId="2" fillId="139" borderId="113" applyFont="0">
      <alignment horizontal="right"/>
    </xf>
    <xf numFmtId="330" fontId="2" fillId="139" borderId="113" applyFont="0">
      <alignment horizontal="right"/>
    </xf>
    <xf numFmtId="33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30" fontId="2" fillId="139" borderId="113" applyFont="0">
      <alignment horizontal="right"/>
    </xf>
    <xf numFmtId="330" fontId="2" fillId="139" borderId="113" applyFont="0">
      <alignment horizontal="right"/>
    </xf>
    <xf numFmtId="330" fontId="2" fillId="139" borderId="113" applyFont="0">
      <alignment horizontal="right"/>
    </xf>
    <xf numFmtId="33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139" borderId="113" applyFont="0">
      <alignment horizontal="right"/>
    </xf>
    <xf numFmtId="0" fontId="10" fillId="0" borderId="0"/>
    <xf numFmtId="10" fontId="2" fillId="139" borderId="113" applyFont="0">
      <alignment horizontal="right"/>
    </xf>
    <xf numFmtId="0" fontId="2" fillId="0" borderId="0" applyNumberFormat="0" applyFont="0" applyFill="0" applyBorder="0" applyAlignment="0" applyProtection="0"/>
    <xf numFmtId="10" fontId="2" fillId="139" borderId="113" applyFont="0">
      <alignment horizontal="right"/>
    </xf>
    <xf numFmtId="10" fontId="2" fillId="139" borderId="113" applyFont="0">
      <alignment horizontal="right"/>
    </xf>
    <xf numFmtId="10" fontId="2" fillId="139" borderId="113" applyFont="0">
      <alignment horizontal="right"/>
    </xf>
    <xf numFmtId="1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139" borderId="113" applyFont="0">
      <alignment horizontal="right"/>
    </xf>
    <xf numFmtId="10" fontId="2" fillId="139" borderId="113" applyFont="0">
      <alignment horizontal="right"/>
    </xf>
    <xf numFmtId="10" fontId="2" fillId="139" borderId="113" applyFont="0">
      <alignment horizontal="right"/>
    </xf>
    <xf numFmtId="10" fontId="2" fillId="139"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139" borderId="113" applyFont="0">
      <alignment horizontal="center" wrapText="1"/>
    </xf>
    <xf numFmtId="0" fontId="10" fillId="0" borderId="0"/>
    <xf numFmtId="0" fontId="2" fillId="139" borderId="113" applyFont="0">
      <alignment horizontal="center" wrapText="1"/>
    </xf>
    <xf numFmtId="0" fontId="2" fillId="0" borderId="0" applyNumberFormat="0" applyFont="0" applyFill="0" applyBorder="0" applyAlignment="0" applyProtection="0"/>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0" fontId="2" fillId="139" borderId="113" applyFont="0">
      <alignment horizontal="center" wrapText="1"/>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139" borderId="113" applyFont="0"/>
    <xf numFmtId="0" fontId="10" fillId="0" borderId="0"/>
    <xf numFmtId="0" fontId="10" fillId="0" borderId="0"/>
    <xf numFmtId="3" fontId="183" fillId="0" borderId="122">
      <alignment vertical="center"/>
    </xf>
    <xf numFmtId="0" fontId="10" fillId="0" borderId="0"/>
    <xf numFmtId="0" fontId="10" fillId="0" borderId="0"/>
    <xf numFmtId="49" fontId="2" fillId="139" borderId="113" applyFont="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303" fontId="2" fillId="140" borderId="113" applyFont="0"/>
    <xf numFmtId="0" fontId="10" fillId="0" borderId="0"/>
    <xf numFmtId="303" fontId="2" fillId="140" borderId="113" applyFont="0"/>
    <xf numFmtId="0" fontId="2" fillId="0" borderId="0" applyNumberFormat="0" applyFont="0" applyFill="0" applyBorder="0" applyAlignment="0" applyProtection="0"/>
    <xf numFmtId="303" fontId="2" fillId="140" borderId="113" applyFont="0"/>
    <xf numFmtId="303" fontId="2" fillId="140" borderId="113" applyFont="0"/>
    <xf numFmtId="303" fontId="2" fillId="140" borderId="113" applyFont="0"/>
    <xf numFmtId="303" fontId="2" fillId="140"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140" borderId="113" applyFont="0"/>
    <xf numFmtId="303" fontId="2" fillId="140" borderId="113" applyFont="0"/>
    <xf numFmtId="303" fontId="2" fillId="140" borderId="113" applyFont="0"/>
    <xf numFmtId="303" fontId="2" fillId="140"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140" borderId="113" applyFont="0">
      <alignment horizontal="right"/>
    </xf>
    <xf numFmtId="0" fontId="10" fillId="0" borderId="0"/>
    <xf numFmtId="9" fontId="2" fillId="140" borderId="113" applyFont="0">
      <alignment horizontal="right"/>
    </xf>
    <xf numFmtId="0" fontId="2" fillId="0" borderId="0" applyNumberFormat="0" applyFont="0" applyFill="0" applyBorder="0" applyAlignment="0" applyProtection="0"/>
    <xf numFmtId="9" fontId="2" fillId="140" borderId="113" applyFont="0">
      <alignment horizontal="right"/>
    </xf>
    <xf numFmtId="9" fontId="2" fillId="140" borderId="113" applyFont="0">
      <alignment horizontal="right"/>
    </xf>
    <xf numFmtId="9" fontId="2" fillId="140" borderId="113" applyFont="0">
      <alignment horizontal="right"/>
    </xf>
    <xf numFmtId="9" fontId="2" fillId="140"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140" borderId="113" applyFont="0">
      <alignment horizontal="right"/>
    </xf>
    <xf numFmtId="9" fontId="2" fillId="140" borderId="113" applyFont="0">
      <alignment horizontal="right"/>
    </xf>
    <xf numFmtId="9" fontId="2" fillId="140" borderId="113" applyFont="0">
      <alignment horizontal="right"/>
    </xf>
    <xf numFmtId="9" fontId="2" fillId="140"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310" fontId="2" fillId="141" borderId="113">
      <alignment vertical="center"/>
    </xf>
    <xf numFmtId="310" fontId="2" fillId="141" borderId="113">
      <alignment vertical="center"/>
    </xf>
    <xf numFmtId="310" fontId="2" fillId="141" borderId="113">
      <alignment vertical="center"/>
    </xf>
    <xf numFmtId="310" fontId="2" fillId="141" borderId="113">
      <alignment vertical="center"/>
    </xf>
    <xf numFmtId="310" fontId="2" fillId="141" borderId="113">
      <alignment vertical="center"/>
    </xf>
    <xf numFmtId="303" fontId="2" fillId="88" borderId="113" applyFont="0">
      <alignment horizontal="right"/>
    </xf>
    <xf numFmtId="0" fontId="10" fillId="0" borderId="0"/>
    <xf numFmtId="303" fontId="2" fillId="88" borderId="113" applyFont="0">
      <alignment horizontal="right"/>
    </xf>
    <xf numFmtId="0" fontId="2" fillId="0" borderId="0" applyNumberFormat="0" applyFont="0" applyFill="0" applyBorder="0" applyAlignment="0" applyProtection="0"/>
    <xf numFmtId="303" fontId="2" fillId="88" borderId="113" applyFont="0">
      <alignment horizontal="right"/>
    </xf>
    <xf numFmtId="303" fontId="2" fillId="88" borderId="113" applyFont="0">
      <alignment horizontal="right"/>
    </xf>
    <xf numFmtId="303" fontId="2" fillId="88" borderId="113" applyFont="0">
      <alignment horizontal="right"/>
    </xf>
    <xf numFmtId="303"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03" fontId="2" fillId="88" borderId="113" applyFont="0">
      <alignment horizontal="right"/>
    </xf>
    <xf numFmtId="303" fontId="2" fillId="88" borderId="113" applyFont="0">
      <alignment horizontal="right"/>
    </xf>
    <xf numFmtId="303" fontId="2" fillId="88" borderId="113" applyFont="0">
      <alignment horizontal="right"/>
    </xf>
    <xf numFmtId="303"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 fontId="2" fillId="88" borderId="113" applyFont="0">
      <alignment horizontal="right"/>
    </xf>
    <xf numFmtId="0" fontId="10" fillId="0" borderId="0"/>
    <xf numFmtId="1" fontId="2" fillId="88" borderId="113" applyFont="0">
      <alignment horizontal="right"/>
    </xf>
    <xf numFmtId="0" fontId="2" fillId="0" borderId="0" applyNumberFormat="0" applyFont="0" applyFill="0" applyBorder="0" applyAlignment="0" applyProtection="0"/>
    <xf numFmtId="1" fontId="2" fillId="88" borderId="113" applyFont="0">
      <alignment horizontal="right"/>
    </xf>
    <xf numFmtId="1" fontId="2" fillId="88" borderId="113" applyFont="0">
      <alignment horizontal="right"/>
    </xf>
    <xf numFmtId="1" fontId="2" fillId="88" borderId="113" applyFont="0">
      <alignment horizontal="right"/>
    </xf>
    <xf numFmtId="1"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 fontId="2" fillId="88" borderId="113" applyFont="0">
      <alignment horizontal="right"/>
    </xf>
    <xf numFmtId="1" fontId="2" fillId="88" borderId="113" applyFont="0">
      <alignment horizontal="right"/>
    </xf>
    <xf numFmtId="1" fontId="2" fillId="88" borderId="113" applyFont="0">
      <alignment horizontal="right"/>
    </xf>
    <xf numFmtId="1"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03" fontId="2" fillId="88" borderId="113" applyFont="0"/>
    <xf numFmtId="0" fontId="10" fillId="0" borderId="0"/>
    <xf numFmtId="303" fontId="2" fillId="88" borderId="113" applyFont="0"/>
    <xf numFmtId="0" fontId="2" fillId="0" borderId="0" applyNumberFormat="0" applyFont="0" applyFill="0" applyBorder="0" applyAlignment="0" applyProtection="0"/>
    <xf numFmtId="303" fontId="2" fillId="88" borderId="113" applyFont="0"/>
    <xf numFmtId="303" fontId="2" fillId="88" borderId="113" applyFont="0"/>
    <xf numFmtId="303" fontId="2" fillId="88" borderId="113" applyFont="0"/>
    <xf numFmtId="303"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303" fontId="2" fillId="88" borderId="113" applyFont="0"/>
    <xf numFmtId="303" fontId="2" fillId="88" borderId="113" applyFont="0"/>
    <xf numFmtId="303" fontId="2" fillId="88" borderId="113" applyFont="0"/>
    <xf numFmtId="303"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259" fontId="2" fillId="88" borderId="113" applyFont="0"/>
    <xf numFmtId="0" fontId="10" fillId="0" borderId="0"/>
    <xf numFmtId="259" fontId="2" fillId="88" borderId="113" applyFont="0"/>
    <xf numFmtId="0" fontId="2" fillId="0" borderId="0" applyNumberFormat="0" applyFont="0" applyFill="0" applyBorder="0" applyAlignment="0" applyProtection="0"/>
    <xf numFmtId="259" fontId="2" fillId="88" borderId="113" applyFont="0"/>
    <xf numFmtId="259" fontId="2" fillId="88" borderId="113" applyFont="0"/>
    <xf numFmtId="259" fontId="2" fillId="88" borderId="113" applyFont="0"/>
    <xf numFmtId="259"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259" fontId="2" fillId="88" borderId="113" applyFont="0"/>
    <xf numFmtId="259" fontId="2" fillId="88" borderId="113" applyFont="0"/>
    <xf numFmtId="259" fontId="2" fillId="88" borderId="113" applyFont="0"/>
    <xf numFmtId="259" fontId="2" fillId="88" borderId="113" applyFo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88" borderId="113" applyFont="0">
      <alignment horizontal="right"/>
    </xf>
    <xf numFmtId="0" fontId="10" fillId="0" borderId="0"/>
    <xf numFmtId="10" fontId="2" fillId="88" borderId="113" applyFont="0">
      <alignment horizontal="right"/>
    </xf>
    <xf numFmtId="0" fontId="2" fillId="0" borderId="0" applyNumberFormat="0" applyFont="0" applyFill="0" applyBorder="0" applyAlignment="0" applyProtection="0"/>
    <xf numFmtId="10" fontId="2" fillId="88" borderId="113" applyFont="0">
      <alignment horizontal="right"/>
    </xf>
    <xf numFmtId="10" fontId="2" fillId="88" borderId="113" applyFont="0">
      <alignment horizontal="right"/>
    </xf>
    <xf numFmtId="10" fontId="2" fillId="88" borderId="113" applyFont="0">
      <alignment horizontal="right"/>
    </xf>
    <xf numFmtId="1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88" borderId="113" applyFont="0">
      <alignment horizontal="right"/>
    </xf>
    <xf numFmtId="10" fontId="2" fillId="88" borderId="113" applyFont="0">
      <alignment horizontal="right"/>
    </xf>
    <xf numFmtId="10" fontId="2" fillId="88" borderId="113" applyFont="0">
      <alignment horizontal="right"/>
    </xf>
    <xf numFmtId="1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9" fontId="2" fillId="88" borderId="113" applyFont="0">
      <alignment horizontal="right"/>
    </xf>
    <xf numFmtId="0" fontId="10" fillId="0" borderId="0"/>
    <xf numFmtId="9" fontId="2" fillId="88" borderId="113" applyFont="0">
      <alignment horizontal="right"/>
    </xf>
    <xf numFmtId="0" fontId="2" fillId="0" borderId="0" applyNumberFormat="0" applyFont="0" applyFill="0" applyBorder="0" applyAlignment="0" applyProtection="0"/>
    <xf numFmtId="9" fontId="2" fillId="88" borderId="113" applyFont="0">
      <alignment horizontal="right"/>
    </xf>
    <xf numFmtId="9" fontId="2" fillId="88" borderId="113" applyFont="0">
      <alignment horizontal="right"/>
    </xf>
    <xf numFmtId="9" fontId="2" fillId="88" borderId="113" applyFont="0">
      <alignment horizontal="right"/>
    </xf>
    <xf numFmtId="9"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9" fontId="2" fillId="88" borderId="113" applyFont="0">
      <alignment horizontal="right"/>
    </xf>
    <xf numFmtId="9" fontId="2" fillId="88" borderId="113" applyFont="0">
      <alignment horizontal="right"/>
    </xf>
    <xf numFmtId="9" fontId="2" fillId="88" borderId="113" applyFont="0">
      <alignment horizontal="right"/>
    </xf>
    <xf numFmtId="9"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30" fontId="2" fillId="88" borderId="113" applyFont="0">
      <alignment horizontal="right"/>
    </xf>
    <xf numFmtId="0" fontId="10" fillId="0" borderId="0"/>
    <xf numFmtId="330" fontId="2" fillId="88" borderId="113" applyFont="0">
      <alignment horizontal="right"/>
    </xf>
    <xf numFmtId="0" fontId="2" fillId="0" borderId="0" applyNumberFormat="0" applyFont="0" applyFill="0" applyBorder="0" applyAlignment="0" applyProtection="0"/>
    <xf numFmtId="330" fontId="2" fillId="88" borderId="113" applyFont="0">
      <alignment horizontal="right"/>
    </xf>
    <xf numFmtId="330" fontId="2" fillId="88" borderId="113" applyFont="0">
      <alignment horizontal="right"/>
    </xf>
    <xf numFmtId="330" fontId="2" fillId="88" borderId="113" applyFont="0">
      <alignment horizontal="right"/>
    </xf>
    <xf numFmtId="33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30" fontId="2" fillId="88" borderId="113" applyFont="0">
      <alignment horizontal="right"/>
    </xf>
    <xf numFmtId="330" fontId="2" fillId="88" borderId="113" applyFont="0">
      <alignment horizontal="right"/>
    </xf>
    <xf numFmtId="330" fontId="2" fillId="88" borderId="113" applyFont="0">
      <alignment horizontal="right"/>
    </xf>
    <xf numFmtId="330" fontId="2" fillId="88" borderId="113"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10" fontId="2" fillId="88" borderId="11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6" applyFont="0">
      <alignment horizontal="right"/>
    </xf>
    <xf numFmtId="0" fontId="2" fillId="0" borderId="0" applyNumberFormat="0" applyFont="0" applyFill="0" applyBorder="0" applyAlignment="0" applyProtection="0"/>
    <xf numFmtId="10" fontId="2" fillId="88" borderId="116" applyFont="0">
      <alignment horizontal="right"/>
    </xf>
    <xf numFmtId="10" fontId="2" fillId="88" borderId="116" applyFont="0">
      <alignment horizontal="right"/>
    </xf>
    <xf numFmtId="10" fontId="2" fillId="88" borderId="116" applyFont="0">
      <alignment horizontal="right"/>
    </xf>
    <xf numFmtId="10" fontId="2" fillId="88" borderId="116"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10" fontId="2" fillId="88" borderId="116" applyFont="0">
      <alignment horizontal="right"/>
    </xf>
    <xf numFmtId="10" fontId="2" fillId="88" borderId="116" applyFont="0">
      <alignment horizontal="right"/>
    </xf>
    <xf numFmtId="10" fontId="2" fillId="88" borderId="116" applyFont="0">
      <alignment horizontal="right"/>
    </xf>
    <xf numFmtId="10" fontId="2" fillId="88" borderId="116" applyFont="0">
      <alignment horizontal="right"/>
    </xf>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88" borderId="113" applyFont="0">
      <alignment horizontal="center" wrapText="1"/>
      <protection locked="0"/>
    </xf>
    <xf numFmtId="0" fontId="10" fillId="0" borderId="0"/>
    <xf numFmtId="0" fontId="2" fillId="88" borderId="113" applyFont="0">
      <alignment horizontal="center" wrapText="1"/>
      <protection locked="0"/>
    </xf>
    <xf numFmtId="0" fontId="2" fillId="0" borderId="0" applyNumberFormat="0" applyFont="0" applyFill="0" applyBorder="0" applyAlignment="0" applyProtection="0"/>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0" fontId="2" fillId="88" borderId="113" applyFont="0">
      <alignment horizontal="center" wrapText="1"/>
      <protection locked="0"/>
    </xf>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49" fontId="2" fillId="88" borderId="113" applyFont="0"/>
    <xf numFmtId="0" fontId="10" fillId="0" borderId="0"/>
    <xf numFmtId="0" fontId="10" fillId="0" borderId="0"/>
    <xf numFmtId="3" fontId="183" fillId="0" borderId="122">
      <alignment vertical="center"/>
    </xf>
    <xf numFmtId="0" fontId="10" fillId="0" borderId="0"/>
    <xf numFmtId="0" fontId="10" fillId="0" borderId="0"/>
    <xf numFmtId="49" fontId="2" fillId="88" borderId="113" applyFont="0"/>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 fontId="183" fillId="0" borderId="122">
      <alignment vertical="center"/>
    </xf>
    <xf numFmtId="0" fontId="290" fillId="0" borderId="163" applyNumberFormat="0" applyAlignment="0" applyProtection="0"/>
    <xf numFmtId="0" fontId="291" fillId="0" borderId="16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Alignment="0" applyProtection="0"/>
    <xf numFmtId="0" fontId="292" fillId="0" borderId="0" applyNumberFormat="0" applyFill="0" applyBorder="0" applyProtection="0"/>
    <xf numFmtId="0" fontId="293" fillId="0" borderId="0" applyNumberFormat="0" applyFill="0" applyBorder="0" applyProtection="0">
      <alignment vertical="top"/>
    </xf>
    <xf numFmtId="0" fontId="294" fillId="0" borderId="11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4" fillId="0" borderId="115" applyNumberFormat="0" applyProtection="0">
      <alignment horizontal="left" vertical="top"/>
    </xf>
    <xf numFmtId="0" fontId="294" fillId="0" borderId="115" applyNumberFormat="0" applyProtection="0">
      <alignment horizontal="left" vertical="top"/>
    </xf>
    <xf numFmtId="0" fontId="2" fillId="0" borderId="0" applyNumberFormat="0" applyFont="0" applyFill="0" applyBorder="0" applyAlignment="0" applyProtection="0"/>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4" fillId="0" borderId="115" applyNumberFormat="0" applyProtection="0">
      <alignment horizontal="right" vertical="top"/>
    </xf>
    <xf numFmtId="0" fontId="291" fillId="0" borderId="0" applyNumberFormat="0" applyProtection="0">
      <alignment horizontal="left" vertical="top"/>
    </xf>
    <xf numFmtId="0" fontId="291" fillId="0" borderId="0"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 fillId="0" borderId="164" applyNumberFormat="0" applyFont="0" applyAlignment="0" applyProtection="0"/>
    <xf numFmtId="0" fontId="2" fillId="0" borderId="165" applyNumberFormat="0" applyFont="0" applyAlignment="0" applyProtection="0"/>
    <xf numFmtId="0" fontId="2" fillId="0" borderId="166" applyNumberFormat="0" applyFont="0" applyAlignment="0" applyProtection="0"/>
    <xf numFmtId="10" fontId="295" fillId="0" borderId="0" applyNumberFormat="0" applyFill="0" applyBorder="0" applyProtection="0">
      <alignment horizontal="right" vertical="top"/>
    </xf>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1" fillId="0" borderId="115" applyNumberFormat="0" applyFill="0" applyAlignment="0" applyProtection="0"/>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0" fillId="0" borderId="97" applyNumberFormat="0" applyFont="0" applyFill="0" applyAlignment="0" applyProtection="0">
      <alignment horizontal="left" vertical="top"/>
    </xf>
    <xf numFmtId="0" fontId="291" fillId="0" borderId="101" applyNumberFormat="0" applyFill="0" applyAlignment="0" applyProtection="0">
      <alignment vertical="top"/>
    </xf>
    <xf numFmtId="0" fontId="291" fillId="0" borderId="101" applyNumberFormat="0" applyFill="0" applyAlignment="0" applyProtection="0">
      <alignment vertical="top"/>
    </xf>
    <xf numFmtId="348" fontId="24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2" fillId="0" borderId="113">
      <alignment vertical="center" wrapText="1"/>
    </xf>
    <xf numFmtId="0" fontId="2" fillId="0" borderId="113">
      <alignment vertical="center" wrapText="1"/>
    </xf>
    <xf numFmtId="0" fontId="2" fillId="0" borderId="113">
      <alignment vertical="center" wrapText="1"/>
    </xf>
    <xf numFmtId="0" fontId="2" fillId="0" borderId="11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296" fillId="0" borderId="0" applyBorder="0" applyProtection="0">
      <alignment vertical="center"/>
    </xf>
    <xf numFmtId="276" fontId="296" fillId="0" borderId="10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97"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7" fillId="106" borderId="10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35"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8"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9"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2" fillId="0" borderId="0">
      <alignment horizontal="centerContinuous"/>
    </xf>
    <xf numFmtId="0" fontId="10" fillId="0" borderId="0"/>
    <xf numFmtId="0" fontId="10" fillId="0" borderId="0"/>
    <xf numFmtId="3" fontId="183" fillId="0" borderId="122">
      <alignment vertical="center"/>
    </xf>
    <xf numFmtId="0" fontId="299"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126" borderId="167"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3" fontId="183" fillId="0" borderId="12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3" fillId="0" borderId="122">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300"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1" fillId="143" borderId="0" applyNumberFormat="0">
      <alignment horizontal="left"/>
    </xf>
    <xf numFmtId="0" fontId="301" fillId="143" borderId="0" applyNumberFormat="0">
      <alignment horizontal="left"/>
    </xf>
    <xf numFmtId="0" fontId="301"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2"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350" fontId="302" fillId="0" borderId="0">
      <protection locked="0"/>
    </xf>
    <xf numFmtId="350" fontId="302" fillId="0" borderId="0">
      <protection locked="0"/>
    </xf>
    <xf numFmtId="0" fontId="10" fillId="0" borderId="0"/>
    <xf numFmtId="0" fontId="76" fillId="0" borderId="0" applyNumberForma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3" fillId="144" borderId="0">
      <alignment horizontal="centerContinuous"/>
    </xf>
    <xf numFmtId="0" fontId="304" fillId="63" borderId="0" applyNumberFormat="0" applyBorder="0" applyAlignment="0">
      <alignment horizontal="center"/>
    </xf>
    <xf numFmtId="0" fontId="305" fillId="0" borderId="96"/>
    <xf numFmtId="0" fontId="10" fillId="0" borderId="0"/>
    <xf numFmtId="0" fontId="305" fillId="0" borderId="96"/>
    <xf numFmtId="0" fontId="10" fillId="0" borderId="0"/>
    <xf numFmtId="0" fontId="305" fillId="0" borderId="96"/>
    <xf numFmtId="0" fontId="10" fillId="0" borderId="0"/>
    <xf numFmtId="0" fontId="305" fillId="0" borderId="96"/>
    <xf numFmtId="0" fontId="305" fillId="0" borderId="96"/>
    <xf numFmtId="245" fontId="227" fillId="0" borderId="0"/>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6">
      <alignment horizontal="left"/>
    </xf>
    <xf numFmtId="252" fontId="2" fillId="0" borderId="96">
      <alignment horizontal="left"/>
    </xf>
    <xf numFmtId="252" fontId="2" fillId="0" borderId="9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3" fontId="183" fillId="0" borderId="122">
      <alignment vertical="center"/>
    </xf>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8" applyNumberFormat="0" applyFill="0" applyAlignment="0" applyProtection="0"/>
    <xf numFmtId="0" fontId="77" fillId="0" borderId="168" applyNumberFormat="0" applyFill="0" applyAlignment="0" applyProtection="0"/>
    <xf numFmtId="0" fontId="77" fillId="0" borderId="168" applyNumberFormat="0" applyFill="0" applyAlignment="0" applyProtection="0"/>
    <xf numFmtId="0" fontId="2" fillId="0" borderId="0" applyNumberFormat="0" applyFont="0" applyFill="0" applyBorder="0" applyAlignment="0" applyProtection="0"/>
    <xf numFmtId="0" fontId="30"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38" fontId="175" fillId="0" borderId="169">
      <alignment horizontal="right"/>
    </xf>
    <xf numFmtId="0" fontId="246" fillId="0" borderId="17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6" fillId="0" borderId="170" applyProtection="0">
      <alignment horizontal="center"/>
    </xf>
    <xf numFmtId="0" fontId="246" fillId="0" borderId="170" applyProtection="0">
      <alignment horizontal="center"/>
    </xf>
    <xf numFmtId="0" fontId="246" fillId="0" borderId="170" applyProtection="0">
      <alignment horizontal="center"/>
    </xf>
    <xf numFmtId="0" fontId="246" fillId="0" borderId="170" applyProtection="0">
      <alignment horizontal="center"/>
    </xf>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05" fillId="69" borderId="0">
      <alignment horizontal="center"/>
    </xf>
    <xf numFmtId="0" fontId="105" fillId="69" borderId="0">
      <alignment horizontal="center"/>
    </xf>
    <xf numFmtId="3" fontId="183" fillId="0" borderId="122">
      <alignment vertical="center"/>
    </xf>
    <xf numFmtId="0" fontId="306" fillId="99" borderId="0" applyNumberFormat="0" applyBorder="0"/>
    <xf numFmtId="0" fontId="159" fillId="0" borderId="171" applyNumberFormat="0" applyFont="0" applyFill="0" applyAlignment="0"/>
    <xf numFmtId="0" fontId="307" fillId="0" borderId="11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53" fillId="0" borderId="57" applyNumberFormat="0" applyBorder="0">
      <protection locked="0"/>
    </xf>
    <xf numFmtId="37" fontId="308" fillId="106" borderId="0"/>
    <xf numFmtId="37" fontId="134" fillId="145" borderId="113" applyNumberFormat="0" applyAlignment="0" applyProtection="0"/>
    <xf numFmtId="0" fontId="2" fillId="0" borderId="0" applyNumberFormat="0" applyFont="0" applyFill="0" applyBorder="0" applyAlignment="0" applyProtection="0"/>
    <xf numFmtId="37" fontId="134" fillId="145" borderId="113" applyNumberFormat="0" applyAlignment="0" applyProtection="0"/>
    <xf numFmtId="37" fontId="134" fillId="145" borderId="113" applyNumberFormat="0" applyAlignment="0" applyProtection="0"/>
    <xf numFmtId="37" fontId="134" fillId="145" borderId="113" applyNumberFormat="0" applyAlignment="0" applyProtection="0"/>
    <xf numFmtId="37" fontId="134" fillId="145" borderId="113" applyNumberFormat="0" applyAlignment="0" applyProtection="0"/>
    <xf numFmtId="3" fontId="183" fillId="0" borderId="122">
      <alignment vertical="center"/>
    </xf>
    <xf numFmtId="0" fontId="2" fillId="0" borderId="0" applyNumberFormat="0" applyFont="0" applyFill="0" applyBorder="0" applyAlignment="0" applyProtection="0"/>
    <xf numFmtId="0" fontId="122" fillId="0" borderId="0" applyNumberFormat="0" applyFill="0" applyBorder="0" applyAlignment="0" applyProtection="0"/>
    <xf numFmtId="0" fontId="10" fillId="0" borderId="0"/>
    <xf numFmtId="0" fontId="10" fillId="0" borderId="0"/>
    <xf numFmtId="220" fontId="3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10" fillId="0" borderId="101">
      <alignment horizontal="center"/>
    </xf>
    <xf numFmtId="43" fontId="2" fillId="0" borderId="0" applyNumberFormat="0" applyFont="0" applyBorder="0" applyAlignment="0">
      <protection locked="0"/>
    </xf>
    <xf numFmtId="2" fontId="308" fillId="106" borderId="0" applyNumberFormat="0" applyFill="0" applyBorder="0" applyAlignment="0" applyProtection="0"/>
    <xf numFmtId="351" fontId="311" fillId="106" borderId="0" applyNumberFormat="0" applyFill="0" applyBorder="0" applyAlignment="0" applyProtection="0"/>
    <xf numFmtId="37" fontId="312" fillId="105" borderId="0" applyNumberFormat="0" applyFill="0" applyBorder="0" applyAlignment="0"/>
    <xf numFmtId="0" fontId="124" fillId="106" borderId="0" applyNumberFormat="0" applyBorder="0" applyAlignment="0"/>
    <xf numFmtId="0" fontId="2" fillId="0" borderId="9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applyNumberFormat="0" applyFont="0" applyFill="0" applyAlignment="0" applyProtection="0"/>
    <xf numFmtId="0" fontId="2" fillId="0" borderId="97" applyNumberFormat="0" applyFont="0" applyFill="0" applyAlignment="0" applyProtection="0"/>
    <xf numFmtId="0" fontId="2" fillId="0" borderId="97" applyNumberFormat="0" applyFont="0" applyFill="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337" fontId="2" fillId="0" borderId="0"/>
    <xf numFmtId="2" fontId="207" fillId="69" borderId="11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0" fontId="10" fillId="0" borderId="0"/>
    <xf numFmtId="3" fontId="183" fillId="0" borderId="122">
      <alignment vertical="center"/>
    </xf>
    <xf numFmtId="0" fontId="10" fillId="0" borderId="0"/>
    <xf numFmtId="165" fontId="313"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3" fillId="0" borderId="122">
      <alignment vertical="center"/>
    </xf>
    <xf numFmtId="353" fontId="2" fillId="0" borderId="0" applyFont="0" applyFill="0" applyBorder="0" applyAlignment="0" applyProtection="0"/>
    <xf numFmtId="354" fontId="228"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0" fontId="10" fillId="0" borderId="0"/>
    <xf numFmtId="3" fontId="183" fillId="0" borderId="12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4"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5" fillId="74" borderId="10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70" fillId="0" borderId="0">
      <alignment horizontal="center"/>
    </xf>
    <xf numFmtId="0" fontId="10" fillId="0" borderId="0"/>
    <xf numFmtId="3" fontId="183" fillId="0" borderId="122">
      <alignment vertical="center"/>
    </xf>
    <xf numFmtId="0" fontId="283" fillId="0" borderId="0" applyProtection="0">
      <alignment horizontal="center"/>
    </xf>
    <xf numFmtId="0" fontId="10" fillId="0" borderId="0"/>
    <xf numFmtId="3" fontId="183" fillId="0" borderId="122">
      <alignment vertical="center"/>
    </xf>
    <xf numFmtId="0" fontId="2" fillId="0" borderId="0" applyNumberFormat="0" applyFont="0" applyFill="0" applyBorder="0" applyAlignment="0" applyProtection="0"/>
    <xf numFmtId="0" fontId="316" fillId="0" borderId="0" applyProtection="0">
      <alignment horizontal="center"/>
    </xf>
    <xf numFmtId="0" fontId="10" fillId="0" borderId="0"/>
    <xf numFmtId="3" fontId="183" fillId="0" borderId="122">
      <alignment vertical="center"/>
    </xf>
    <xf numFmtId="0" fontId="45" fillId="0" borderId="0" applyNumberFormat="0" applyFill="0" applyBorder="0" applyProtection="0">
      <alignment horizontal="left"/>
    </xf>
    <xf numFmtId="330" fontId="134" fillId="0" borderId="0" applyNumberFormat="0" applyFont="0" applyFill="0" applyBorder="0" applyProtection="0">
      <alignment vertical="top" wrapText="1"/>
    </xf>
    <xf numFmtId="0" fontId="180" fillId="0" borderId="0" applyNumberFormat="0" applyFill="0" applyBorder="0" applyProtection="0">
      <alignment horizontal="right"/>
    </xf>
    <xf numFmtId="0" fontId="153" fillId="0" borderId="0" applyNumberFormat="0" applyFill="0" applyBorder="0" applyProtection="0">
      <alignment horizontal="center"/>
    </xf>
    <xf numFmtId="15" fontId="153" fillId="0" borderId="0" applyFill="0" applyBorder="0" applyProtection="0">
      <alignment horizontal="center"/>
    </xf>
    <xf numFmtId="356" fontId="105" fillId="0" borderId="0"/>
    <xf numFmtId="356" fontId="105" fillId="0" borderId="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10" fillId="0" borderId="0"/>
    <xf numFmtId="3" fontId="183" fillId="0" borderId="122">
      <alignment vertical="center"/>
    </xf>
    <xf numFmtId="0" fontId="45" fillId="0" borderId="172" applyNumberFormat="0"/>
    <xf numFmtId="14" fontId="134" fillId="0" borderId="0" applyFont="0" applyFill="0" applyBorder="0" applyProtection="0"/>
    <xf numFmtId="16" fontId="134" fillId="0" borderId="0" applyFont="0" applyFill="0" applyBorder="0" applyProtection="0"/>
    <xf numFmtId="3" fontId="183" fillId="0" borderId="122">
      <alignment vertical="center"/>
    </xf>
    <xf numFmtId="357" fontId="317" fillId="0" borderId="10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2" fillId="0" borderId="0" applyNumberFormat="0" applyFont="0" applyFill="0" applyBorder="0" applyAlignment="0" applyProtection="0"/>
    <xf numFmtId="0" fontId="10" fillId="0" borderId="0"/>
    <xf numFmtId="3" fontId="183" fillId="0" borderId="122">
      <alignment vertical="center"/>
    </xf>
    <xf numFmtId="0" fontId="10" fillId="0" borderId="0"/>
    <xf numFmtId="0" fontId="10" fillId="0" borderId="0"/>
    <xf numFmtId="0" fontId="10" fillId="0" borderId="0"/>
    <xf numFmtId="0" fontId="10" fillId="0" borderId="0"/>
    <xf numFmtId="3" fontId="183" fillId="0" borderId="122">
      <alignment vertical="center"/>
    </xf>
    <xf numFmtId="0" fontId="192"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0" applyNumberFormat="0" applyFont="0" applyBorder="0" applyAlignment="0"/>
    <xf numFmtId="0" fontId="319" fillId="0" borderId="0"/>
    <xf numFmtId="0" fontId="6" fillId="0" borderId="0" applyNumberFormat="0" applyFill="0" applyBorder="0" applyAlignment="0" applyProtection="0">
      <alignment vertical="top"/>
      <protection locked="0"/>
    </xf>
    <xf numFmtId="207" fontId="319" fillId="0" borderId="0" applyFont="0" applyFill="0" applyBorder="0" applyAlignment="0" applyProtection="0"/>
    <xf numFmtId="208" fontId="319" fillId="0" borderId="0" applyFont="0" applyFill="0" applyBorder="0" applyAlignment="0" applyProtection="0"/>
    <xf numFmtId="206" fontId="319" fillId="0" borderId="0" applyFont="0" applyFill="0" applyBorder="0" applyAlignment="0" applyProtection="0"/>
    <xf numFmtId="209" fontId="31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20" fillId="0" borderId="0" applyNumberFormat="0" applyFill="0" applyBorder="0" applyAlignment="0" applyProtection="0"/>
    <xf numFmtId="3" fontId="2" fillId="74" borderId="179" applyFont="0">
      <alignment horizontal="right" vertical="center"/>
      <protection locked="0"/>
    </xf>
    <xf numFmtId="0" fontId="45" fillId="69" borderId="175" applyFont="0" applyBorder="0">
      <alignment horizontal="center" wrapText="1"/>
    </xf>
    <xf numFmtId="0" fontId="121" fillId="69" borderId="178" applyNumberFormat="0" applyFill="0" applyBorder="0" applyAlignment="0" applyProtection="0">
      <alignment horizontal="left"/>
    </xf>
    <xf numFmtId="0" fontId="1" fillId="0" borderId="0"/>
    <xf numFmtId="0" fontId="148" fillId="0" borderId="183"/>
    <xf numFmtId="243" fontId="150" fillId="0" borderId="184"/>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0" fontId="19" fillId="0" borderId="176" applyFont="0" applyFill="0" applyBorder="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3" fontId="155" fillId="83" borderId="179" applyNumberFormat="0" applyFont="0" applyAlignment="0"/>
    <xf numFmtId="246"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0"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246" fontId="153" fillId="102" borderId="179" applyNumberFormat="0" applyFill="0" applyBorder="0" applyAlignment="0" applyProtection="0"/>
    <xf numFmtId="0" fontId="153" fillId="102" borderId="179" applyNumberFormat="0" applyFill="0" applyBorder="0" applyAlignment="0" applyProtection="0"/>
    <xf numFmtId="0" fontId="157" fillId="103" borderId="185" applyNumberFormat="0" applyAlignment="0" applyProtection="0"/>
    <xf numFmtId="0" fontId="157" fillId="103" borderId="185" applyNumberFormat="0" applyAlignment="0" applyProtection="0"/>
    <xf numFmtId="251" fontId="105" fillId="0" borderId="185" applyNumberFormat="0" applyFont="0" applyFill="0" applyAlignment="0">
      <alignment vertical="center"/>
    </xf>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251" fontId="105" fillId="0" borderId="185" applyNumberFormat="0" applyFont="0" applyFill="0" applyAlignment="0">
      <alignment vertical="center"/>
    </xf>
    <xf numFmtId="0" fontId="105" fillId="0" borderId="185" applyNumberFormat="0" applyFont="0" applyFill="0"/>
    <xf numFmtId="251" fontId="105" fillId="0" borderId="185" applyNumberFormat="0" applyFont="0" applyFill="0" applyAlignment="0">
      <alignment vertical="center"/>
    </xf>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05" fillId="0" borderId="185" applyNumberFormat="0" applyFont="0" applyFill="0"/>
    <xf numFmtId="0" fontId="175" fillId="0" borderId="174" applyNumberFormat="0" applyFont="0" applyFill="0" applyAlignment="0" applyProtection="0"/>
    <xf numFmtId="0" fontId="123" fillId="0" borderId="178" applyNumberFormat="0" applyFont="0" applyFill="0" applyAlignment="0" applyProtection="0"/>
    <xf numFmtId="0" fontId="123" fillId="0" borderId="178" applyNumberFormat="0" applyFont="0" applyFill="0" applyAlignment="0" applyProtection="0"/>
    <xf numFmtId="0" fontId="123" fillId="0" borderId="178" applyNumberFormat="0" applyFont="0" applyFill="0" applyAlignment="0" applyProtection="0"/>
    <xf numFmtId="0" fontId="123" fillId="0" borderId="183" applyNumberFormat="0" applyFont="0" applyFill="0" applyAlignment="0" applyProtection="0"/>
    <xf numFmtId="0" fontId="123" fillId="0" borderId="183"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0" fontId="123" fillId="0" borderId="177" applyNumberFormat="0" applyFont="0" applyFill="0" applyAlignment="0" applyProtection="0"/>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252" fontId="2" fillId="0" borderId="184">
      <alignment horizontal="left"/>
    </xf>
    <xf numFmtId="3" fontId="45" fillId="41" borderId="178">
      <protection hidden="1"/>
    </xf>
    <xf numFmtId="0" fontId="178" fillId="0" borderId="178" applyBorder="0"/>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vertical="center"/>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3" fontId="180" fillId="69" borderId="179" applyFont="0" applyFill="0" applyProtection="0">
      <alignment horizontal="right"/>
    </xf>
    <xf numFmtId="200" fontId="183"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4" fillId="0" borderId="186" applyNumberFormat="0" applyFill="0" applyBorder="0" applyAlignment="0" applyProtection="0">
      <alignment horizontal="center"/>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4" fillId="0" borderId="186" applyNumberFormat="0" applyFill="0" applyBorder="0" applyAlignment="0" applyProtection="0">
      <alignment horizontal="center"/>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195" fillId="0" borderId="18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6" fillId="0" borderId="0" applyFont="0" applyFill="0" applyBorder="0" applyAlignment="0" applyProtection="0">
      <alignment horizontal="righ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01" fillId="114" borderId="176" applyNumberFormat="0" applyBorder="0">
      <alignment horizontal="left"/>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0"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274" fontId="2" fillId="0" borderId="178" applyFill="0" applyProtection="0">
      <alignment horizontal="centerContinuous"/>
    </xf>
    <xf numFmtId="0" fontId="206" fillId="115" borderId="179" applyNumberFormat="0" applyBorder="0" applyAlignment="0">
      <alignment horizontal="center"/>
      <protection locked="0"/>
    </xf>
    <xf numFmtId="0" fontId="206" fillId="115" borderId="179" applyNumberFormat="0" applyBorder="0" applyAlignment="0">
      <alignment horizontal="center"/>
      <protection locked="0"/>
    </xf>
    <xf numFmtId="3" fontId="207" fillId="116" borderId="186" applyNumberFormat="0" applyBorder="0" applyAlignment="0" applyProtection="0">
      <protection hidden="1"/>
    </xf>
    <xf numFmtId="280" fontId="2" fillId="0" borderId="0" applyFont="0" applyFill="0" applyBorder="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71" borderId="177" applyNumberFormat="0" applyFont="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45" fillId="108" borderId="181" applyAlignment="0" applyProtection="0"/>
    <xf numFmtId="0" fontId="45" fillId="108" borderId="181" applyAlignment="0" applyProtection="0"/>
    <xf numFmtId="0" fontId="45" fillId="108" borderId="181" applyAlignment="0" applyProtection="0"/>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Protection="0">
      <alignment horizontal="center" vertic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68" borderId="179" applyNumberFormat="0" applyFont="0" applyBorder="0" applyAlignment="0" applyProtection="0">
      <alignment horizontal="center"/>
    </xf>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2" fillId="120" borderId="176" applyNumberFormat="0" applyFont="0" applyBorder="0" applyAlignment="0"/>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41" fillId="121" borderId="175" applyNumberFormat="0" applyFont="0" applyBorder="0" applyAlignment="0">
      <alignment horizontal="centerContinuous"/>
    </xf>
    <xf numFmtId="0" fontId="37" fillId="0" borderId="181">
      <alignment horizontal="left" vertical="center"/>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3"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10"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9" fontId="2" fillId="70" borderId="179" applyFont="0" applyProtection="0">
      <alignment horizontal="righ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70" borderId="175" applyNumberFormat="0" applyFont="0" applyBorder="0" applyAlignment="0" applyProtection="0">
      <alignment horizontal="left"/>
    </xf>
    <xf numFmtId="0" fontId="2" fillId="0" borderId="0" applyNumberFormat="0" applyFont="0" applyFill="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10" fontId="19" fillId="102" borderId="179" applyNumberFormat="0" applyBorder="0" applyAlignment="0" applyProtection="0"/>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0" fontId="245" fillId="0" borderId="184">
      <protection locked="0"/>
    </xf>
    <xf numFmtId="2" fontId="207" fillId="124" borderId="184" applyNumberFormat="0" applyBorder="0" applyAlignment="0" applyProtection="0">
      <alignment horizontal="center"/>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10" fontId="2" fillId="71" borderId="179" applyFont="0" applyAlignment="0">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vertical="center"/>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3"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259"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10" fontId="2" fillId="71" borderId="179"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9" fontId="2" fillId="71" borderId="186" applyFont="0">
      <alignment horizontal="right"/>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0" fontId="2" fillId="71" borderId="179" applyFont="0">
      <alignment horizontal="center" wrapText="1"/>
      <protection locked="0"/>
    </xf>
    <xf numFmtId="49" fontId="2" fillId="71" borderId="179" applyFont="0" applyAlignment="0">
      <protection locked="0"/>
    </xf>
    <xf numFmtId="49" fontId="2" fillId="71" borderId="179" applyFont="0" applyAlignment="0">
      <protection locked="0"/>
    </xf>
    <xf numFmtId="316" fontId="134" fillId="0" borderId="184" applyBorder="0"/>
    <xf numFmtId="252" fontId="202" fillId="91" borderId="184" applyBorder="0"/>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10" fontId="9" fillId="125" borderId="176" applyBorder="0">
      <alignment horizontal="center"/>
      <protection locked="0"/>
    </xf>
    <xf numFmtId="2" fontId="207" fillId="102" borderId="179" applyNumberFormat="0" applyBorder="0" applyAlignment="0">
      <protection locked="0"/>
    </xf>
    <xf numFmtId="3" fontId="183" fillId="0" borderId="122">
      <alignment vertical="center"/>
    </xf>
    <xf numFmtId="37" fontId="175" fillId="0" borderId="0" applyNumberFormat="0" applyFill="0" applyAlignment="0"/>
    <xf numFmtId="0" fontId="257" fillId="99" borderId="180">
      <alignment horizontal="center" vertical="top" wrapText="1"/>
    </xf>
    <xf numFmtId="0" fontId="257" fillId="99" borderId="180">
      <alignment horizontal="center" vertical="top" wrapText="1"/>
    </xf>
    <xf numFmtId="0" fontId="257" fillId="99" borderId="180">
      <alignment horizontal="center" vertical="top" wrapText="1"/>
    </xf>
    <xf numFmtId="0" fontId="257" fillId="99" borderId="180">
      <alignment horizontal="center" vertical="top" wrapText="1"/>
    </xf>
    <xf numFmtId="0" fontId="2" fillId="0" borderId="181"/>
    <xf numFmtId="0" fontId="2" fillId="0" borderId="181"/>
    <xf numFmtId="0" fontId="2" fillId="0" borderId="181"/>
    <xf numFmtId="0" fontId="2" fillId="0" borderId="181"/>
    <xf numFmtId="0" fontId="45" fillId="70" borderId="175"/>
    <xf numFmtId="0" fontId="45" fillId="70" borderId="175"/>
    <xf numFmtId="0" fontId="45" fillId="70" borderId="175"/>
    <xf numFmtId="0" fontId="45" fillId="70" borderId="175"/>
    <xf numFmtId="0" fontId="45" fillId="0" borderId="176"/>
    <xf numFmtId="0" fontId="45" fillId="0" borderId="176"/>
    <xf numFmtId="0" fontId="45" fillId="0" borderId="176"/>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0" fontId="257" fillId="127" borderId="180">
      <alignment horizontal="center" vertical="top"/>
    </xf>
    <xf numFmtId="0" fontId="257" fillId="127" borderId="180">
      <alignment horizontal="center" vertical="top"/>
    </xf>
    <xf numFmtId="0" fontId="45" fillId="0" borderId="175"/>
    <xf numFmtId="0" fontId="45" fillId="0" borderId="175"/>
    <xf numFmtId="0" fontId="45" fillId="0" borderId="175"/>
    <xf numFmtId="0" fontId="45" fillId="0" borderId="175"/>
    <xf numFmtId="0" fontId="2" fillId="0" borderId="180"/>
    <xf numFmtId="0" fontId="2" fillId="0" borderId="180"/>
    <xf numFmtId="0" fontId="2" fillId="0" borderId="180"/>
    <xf numFmtId="0" fontId="2" fillId="0" borderId="180"/>
    <xf numFmtId="0" fontId="2" fillId="0" borderId="180"/>
    <xf numFmtId="0" fontId="258" fillId="70" borderId="186"/>
    <xf numFmtId="0" fontId="258" fillId="70" borderId="186"/>
    <xf numFmtId="0" fontId="2" fillId="0" borderId="176">
      <alignment horizontal="center"/>
    </xf>
    <xf numFmtId="0" fontId="2" fillId="0" borderId="176">
      <alignment horizontal="center"/>
    </xf>
    <xf numFmtId="0" fontId="2" fillId="0" borderId="176">
      <alignment horizontal="center"/>
    </xf>
    <xf numFmtId="0" fontId="2" fillId="0" borderId="177">
      <alignment horizontal="center"/>
    </xf>
    <xf numFmtId="0" fontId="2" fillId="0" borderId="177">
      <alignment horizontal="center"/>
    </xf>
    <xf numFmtId="0" fontId="2" fillId="0" borderId="177">
      <alignment horizontal="center"/>
    </xf>
    <xf numFmtId="0" fontId="2" fillId="0" borderId="177">
      <alignment horizontal="center"/>
    </xf>
    <xf numFmtId="0" fontId="2" fillId="0" borderId="182">
      <alignment horizontal="center"/>
    </xf>
    <xf numFmtId="0" fontId="2" fillId="0" borderId="182">
      <alignment horizontal="center"/>
    </xf>
    <xf numFmtId="0" fontId="257" fillId="127" borderId="180">
      <alignment horizontal="center" vertical="top" wrapText="1"/>
    </xf>
    <xf numFmtId="0" fontId="257" fillId="127" borderId="180">
      <alignment horizontal="center" vertical="top" wrapText="1"/>
    </xf>
    <xf numFmtId="0" fontId="257" fillId="127" borderId="180">
      <alignment horizontal="center" vertical="top" wrapText="1"/>
    </xf>
    <xf numFmtId="0" fontId="257" fillId="127" borderId="180">
      <alignment horizontal="center" vertical="top" wrapText="1"/>
    </xf>
    <xf numFmtId="3" fontId="2" fillId="0" borderId="181"/>
    <xf numFmtId="3" fontId="2" fillId="0" borderId="181"/>
    <xf numFmtId="3" fontId="2" fillId="0" borderId="181"/>
    <xf numFmtId="3" fontId="2" fillId="0" borderId="181"/>
    <xf numFmtId="0" fontId="45" fillId="70" borderId="175">
      <alignment horizontal="center"/>
    </xf>
    <xf numFmtId="0" fontId="45" fillId="70" borderId="175">
      <alignment horizontal="center"/>
    </xf>
    <xf numFmtId="0" fontId="45" fillId="70" borderId="175">
      <alignment horizontal="center"/>
    </xf>
    <xf numFmtId="0" fontId="45" fillId="70" borderId="175">
      <alignment horizontal="center"/>
    </xf>
    <xf numFmtId="0" fontId="45" fillId="70" borderId="181">
      <alignment horizontal="center"/>
    </xf>
    <xf numFmtId="0" fontId="45" fillId="70" borderId="181">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76">
      <alignment horizontal="left" vertical="top"/>
    </xf>
    <xf numFmtId="0" fontId="45" fillId="70" borderId="176">
      <alignment horizontal="left" vertical="top"/>
    </xf>
    <xf numFmtId="0" fontId="45" fillId="70" borderId="176">
      <alignment horizontal="left" vertical="top"/>
    </xf>
    <xf numFmtId="0" fontId="257" fillId="127" borderId="181">
      <alignment horizontal="center" vertical="center"/>
    </xf>
    <xf numFmtId="0" fontId="257" fillId="127" borderId="181">
      <alignment horizontal="center" vertical="center"/>
    </xf>
    <xf numFmtId="0" fontId="257" fillId="127" borderId="180">
      <alignment horizontal="center" vertical="center"/>
    </xf>
    <xf numFmtId="0" fontId="257" fillId="127" borderId="180">
      <alignment horizontal="center" vertical="center"/>
    </xf>
    <xf numFmtId="0" fontId="257" fillId="127" borderId="180">
      <alignment horizontal="center" vertical="center"/>
    </xf>
    <xf numFmtId="0" fontId="257" fillId="127" borderId="180">
      <alignment horizontal="center" vertical="center"/>
    </xf>
    <xf numFmtId="0" fontId="257" fillId="99" borderId="175">
      <alignment horizontal="center" vertical="center"/>
    </xf>
    <xf numFmtId="0" fontId="257" fillId="99" borderId="175">
      <alignment horizontal="center" vertical="center"/>
    </xf>
    <xf numFmtId="0" fontId="257" fillId="99" borderId="175">
      <alignment horizontal="center" vertical="center"/>
    </xf>
    <xf numFmtId="0" fontId="257" fillId="99" borderId="175">
      <alignment horizontal="center" vertical="center"/>
    </xf>
    <xf numFmtId="0" fontId="257" fillId="99" borderId="181">
      <alignment horizontal="center" vertical="center"/>
    </xf>
    <xf numFmtId="0" fontId="257" fillId="99" borderId="181">
      <alignment horizontal="center" vertical="center"/>
    </xf>
    <xf numFmtId="0" fontId="257" fillId="99" borderId="180">
      <alignment horizontal="center" vertical="center"/>
    </xf>
    <xf numFmtId="0" fontId="257" fillId="99" borderId="180">
      <alignment horizontal="center" vertical="center"/>
    </xf>
    <xf numFmtId="0" fontId="257" fillId="99" borderId="180">
      <alignment horizontal="center" vertical="center"/>
    </xf>
    <xf numFmtId="0" fontId="257" fillId="99" borderId="180">
      <alignment horizontal="center" vertical="center"/>
    </xf>
    <xf numFmtId="0" fontId="2" fillId="0" borderId="177"/>
    <xf numFmtId="0" fontId="2" fillId="0" borderId="177"/>
    <xf numFmtId="0" fontId="2" fillId="0" borderId="177"/>
    <xf numFmtId="0" fontId="2" fillId="0" borderId="177"/>
    <xf numFmtId="0" fontId="2" fillId="0" borderId="182"/>
    <xf numFmtId="0" fontId="2" fillId="0" borderId="182"/>
    <xf numFmtId="0" fontId="2" fillId="0" borderId="0" applyNumberFormat="0" applyFont="0" applyFill="0" applyBorder="0" applyAlignment="0" applyProtection="0"/>
    <xf numFmtId="0" fontId="260" fillId="0" borderId="184"/>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3"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259" fontId="2" fillId="74" borderId="179">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10" fontId="2" fillId="74" borderId="179" applyFont="0">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9" fontId="2" fillId="74" borderId="179">
      <alignment horizontal="right"/>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330" fontId="2" fillId="74" borderId="179" applyFont="0">
      <alignment horizontal="right" vertical="center"/>
      <protection locked="0"/>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lignment horizontal="center" wrapText="1"/>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0" fontId="2" fillId="74" borderId="179" applyNumberFormat="0" applyFont="0">
      <alignment horizontal="center" wrapText="1"/>
      <protection locked="0"/>
    </xf>
    <xf numFmtId="173" fontId="207" fillId="129" borderId="184" applyNumberFormat="0" applyBorder="0" applyAlignment="0" applyProtection="0">
      <alignment horizontal="center"/>
      <protection hidden="1"/>
    </xf>
    <xf numFmtId="3" fontId="261" fillId="57" borderId="179" applyNumberFormat="0" applyBorder="0" applyAlignment="0" applyProtection="0">
      <protection hidden="1"/>
    </xf>
    <xf numFmtId="3" fontId="262" fillId="130" borderId="186" applyNumberFormat="0" applyBorder="0" applyAlignment="0" applyProtection="0">
      <protection hidden="1"/>
    </xf>
    <xf numFmtId="0" fontId="19" fillId="126" borderId="184" applyNumberFormat="0" applyFont="0" applyBorder="0" applyAlignment="0" applyProtection="0">
      <alignment horizontal="center"/>
    </xf>
    <xf numFmtId="0" fontId="19" fillId="126" borderId="184" applyNumberFormat="0" applyFont="0" applyBorder="0" applyAlignment="0" applyProtection="0">
      <alignment horizontal="center"/>
    </xf>
    <xf numFmtId="0" fontId="19" fillId="91" borderId="184" applyNumberFormat="0" applyFont="0" applyBorder="0" applyAlignment="0" applyProtection="0">
      <alignment horizontal="center"/>
    </xf>
    <xf numFmtId="0" fontId="19" fillId="91" borderId="184" applyNumberFormat="0" applyFont="0" applyBorder="0" applyAlignment="0" applyProtection="0">
      <alignment horizontal="center"/>
    </xf>
    <xf numFmtId="0" fontId="134" fillId="0" borderId="187" applyNumberFormat="0" applyAlignment="0" applyProtection="0"/>
    <xf numFmtId="0" fontId="10" fillId="0" borderId="0"/>
    <xf numFmtId="0" fontId="46" fillId="69" borderId="178">
      <alignment horizontal="center"/>
    </xf>
    <xf numFmtId="0" fontId="41" fillId="0" borderId="174">
      <alignment horizontal="center"/>
    </xf>
    <xf numFmtId="0" fontId="45" fillId="87" borderId="178" applyNumberFormat="0" applyBorder="0" applyAlignment="0"/>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3" fontId="2" fillId="90" borderId="179" applyFont="0">
      <alignment horizontal="right" vertical="center"/>
      <protection locked="0"/>
    </xf>
    <xf numFmtId="0" fontId="271" fillId="45" borderId="179"/>
    <xf numFmtId="0" fontId="2" fillId="0" borderId="188">
      <alignment vertical="center"/>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4" fontId="29" fillId="133" borderId="189" applyNumberFormat="0" applyProtection="0">
      <alignment horizontal="left" vertical="center" indent="1"/>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46" fontId="2" fillId="69" borderId="179">
      <alignment horizontal="center"/>
    </xf>
    <xf numFmtId="3" fontId="2" fillId="69" borderId="179" applyFont="0">
      <alignment horizontal="right"/>
    </xf>
    <xf numFmtId="3" fontId="2" fillId="69" borderId="179" applyFont="0">
      <alignment horizontal="right"/>
    </xf>
    <xf numFmtId="3" fontId="2" fillId="69" borderId="179" applyFont="0">
      <alignment horizontal="right" vertical="center"/>
    </xf>
    <xf numFmtId="3" fontId="2" fillId="69" borderId="179" applyFont="0">
      <alignment horizontal="right" vertical="center"/>
    </xf>
    <xf numFmtId="3" fontId="2" fillId="69" borderId="179" applyFont="0">
      <alignment horizontal="right" vertical="center"/>
    </xf>
    <xf numFmtId="3" fontId="2" fillId="69" borderId="179" applyFont="0">
      <alignment horizontal="right" vertical="center"/>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3"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187"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259"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10"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9" fontId="2" fillId="69" borderId="179" applyFont="0">
      <alignment horizontal="right"/>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47" fontId="2" fillId="69" borderId="179" applyFont="0">
      <alignment horizontal="center" wrapText="1"/>
    </xf>
    <xf numFmtId="3" fontId="2" fillId="68" borderId="181" applyBorder="0"/>
    <xf numFmtId="3" fontId="2" fillId="68" borderId="181" applyBorder="0"/>
    <xf numFmtId="3" fontId="2" fillId="68" borderId="181" applyBorder="0"/>
    <xf numFmtId="3" fontId="2" fillId="68" borderId="181" applyBorder="0"/>
    <xf numFmtId="3" fontId="2" fillId="68" borderId="181" applyBorder="0"/>
    <xf numFmtId="2" fontId="287" fillId="0" borderId="184" applyNumberFormat="0" applyFill="0" applyBorder="0" applyAlignment="0" applyProtection="0">
      <alignment horizontal="center"/>
      <protection locked="0"/>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0" fontId="134" fillId="0" borderId="179" applyNumberFormat="0" applyFont="0" applyFill="0" applyBorder="0" applyAlignment="0">
      <protection hidden="1"/>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1" fontId="2" fillId="139" borderId="179" applyFont="0">
      <alignment horizontal="right"/>
    </xf>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303" fontId="2" fillId="139" borderId="179" applyFont="0"/>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9"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33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10" fontId="2" fillId="139" borderId="179" applyFont="0">
      <alignment horizontal="right"/>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0" fontId="2" fillId="139" borderId="179" applyFont="0">
      <alignment horizontal="center" wrapText="1"/>
    </xf>
    <xf numFmtId="49" fontId="2" fillId="139" borderId="179" applyFont="0"/>
    <xf numFmtId="49" fontId="2" fillId="139"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303" fontId="2" fillId="140" borderId="179" applyFont="0"/>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9" fontId="2" fillId="140" borderId="179" applyFont="0">
      <alignment horizontal="right"/>
    </xf>
    <xf numFmtId="310" fontId="2" fillId="141" borderId="179">
      <alignment vertical="center"/>
    </xf>
    <xf numFmtId="310" fontId="2" fillId="141" borderId="179">
      <alignment vertical="center"/>
    </xf>
    <xf numFmtId="310" fontId="2" fillId="141" borderId="179">
      <alignment vertical="center"/>
    </xf>
    <xf numFmtId="310" fontId="2" fillId="141" borderId="179">
      <alignment vertical="center"/>
    </xf>
    <xf numFmtId="310" fontId="2" fillId="141" borderId="179">
      <alignment vertical="center"/>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303"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1" fontId="2" fillId="88" borderId="179" applyFont="0">
      <alignment horizontal="right"/>
    </xf>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303"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259" fontId="2" fillId="88" borderId="179" applyFont="0"/>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10"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9"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330" fontId="2" fillId="88" borderId="179"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10" fontId="2" fillId="88" borderId="180" applyFont="0">
      <alignment horizontal="right"/>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0" fontId="2" fillId="88" borderId="179" applyFont="0">
      <alignment horizontal="center" wrapText="1"/>
      <protection locked="0"/>
    </xf>
    <xf numFmtId="49" fontId="2" fillId="88" borderId="179" applyFont="0"/>
    <xf numFmtId="49" fontId="2" fillId="88" borderId="179" applyFont="0"/>
    <xf numFmtId="0" fontId="294" fillId="0" borderId="181" applyNumberFormat="0" applyProtection="0">
      <alignment horizontal="left" vertical="top"/>
    </xf>
    <xf numFmtId="0" fontId="294" fillId="0" borderId="181" applyNumberFormat="0" applyProtection="0">
      <alignment horizontal="left" vertical="top"/>
    </xf>
    <xf numFmtId="0" fontId="294" fillId="0" borderId="181" applyNumberFormat="0" applyProtection="0">
      <alignment horizontal="lef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4" fillId="0" borderId="181" applyNumberFormat="0" applyProtection="0">
      <alignment horizontal="right" vertical="top"/>
    </xf>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1" fillId="0" borderId="181" applyNumberFormat="0" applyFill="0" applyAlignment="0" applyProtection="0"/>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90" fillId="0" borderId="177" applyNumberFormat="0" applyFont="0" applyFill="0" applyAlignment="0" applyProtection="0">
      <alignment horizontal="left" vertical="top"/>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 fillId="0" borderId="179">
      <alignment vertical="center" wrapText="1"/>
    </xf>
    <xf numFmtId="0" fontId="229" fillId="0" borderId="178" applyFill="0" applyBorder="0" applyProtection="0">
      <alignment horizontal="left" vertical="top"/>
    </xf>
    <xf numFmtId="0" fontId="159" fillId="126" borderId="190" applyNumberFormat="0" applyFont="0">
      <alignment horizontal="center" vertical="center"/>
    </xf>
    <xf numFmtId="349" fontId="45" fillId="68" borderId="186" applyNumberFormat="0" applyBorder="0" applyAlignment="0">
      <alignment horizontal="right"/>
    </xf>
    <xf numFmtId="0" fontId="305" fillId="0" borderId="176"/>
    <xf numFmtId="0" fontId="305" fillId="0" borderId="176"/>
    <xf numFmtId="0" fontId="305" fillId="0" borderId="176"/>
    <xf numFmtId="0" fontId="305" fillId="0" borderId="176"/>
    <xf numFmtId="0" fontId="305" fillId="0" borderId="176"/>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252" fontId="2" fillId="0" borderId="176">
      <alignment horizontal="left"/>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246" fillId="0" borderId="191" applyProtection="0">
      <alignment horizontal="center"/>
    </xf>
    <xf numFmtId="0" fontId="307" fillId="0" borderId="186" applyNumberFormat="0" applyFill="0" applyBorder="0" applyAlignment="0" applyProtection="0">
      <alignment horizontal="center"/>
      <protection locked="0"/>
    </xf>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37" fontId="134" fillId="145" borderId="179" applyNumberFormat="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0" fontId="2" fillId="0" borderId="177" applyNumberFormat="0" applyFont="0" applyFill="0" applyAlignment="0" applyProtection="0"/>
    <xf numFmtId="2" fontId="207" fillId="69" borderId="179" applyBorder="0" applyAlignment="0"/>
    <xf numFmtId="165" fontId="313" fillId="69" borderId="178">
      <alignment horizontal="center"/>
    </xf>
    <xf numFmtId="0" fontId="320" fillId="0" borderId="0" applyNumberFormat="0" applyFill="0" applyBorder="0" applyAlignment="0" applyProtection="0"/>
    <xf numFmtId="0" fontId="1" fillId="0" borderId="0"/>
    <xf numFmtId="0" fontId="1" fillId="0" borderId="0"/>
  </cellStyleXfs>
  <cellXfs count="807">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191" fontId="84" fillId="0" borderId="3" xfId="0" applyNumberFormat="1" applyFont="1" applyBorder="1" applyAlignment="1" applyProtection="1">
      <alignment horizontal="center" vertical="center" wrapText="1"/>
      <protection locked="0"/>
    </xf>
    <xf numFmtId="191" fontId="84" fillId="0" borderId="19" xfId="0" applyNumberFormat="1" applyFont="1" applyBorder="1" applyAlignment="1" applyProtection="1">
      <alignment horizontal="center" vertical="center" wrapText="1"/>
      <protection locked="0"/>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191" fontId="87" fillId="2" borderId="22" xfId="0" applyNumberFormat="1" applyFont="1" applyFill="1" applyBorder="1" applyAlignment="1" applyProtection="1">
      <alignment vertical="center"/>
      <protection locked="0"/>
    </xf>
    <xf numFmtId="191" fontId="87" fillId="2" borderId="23"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8" xfId="0" applyFont="1" applyBorder="1" applyAlignment="1">
      <alignment vertical="center"/>
    </xf>
    <xf numFmtId="0" fontId="85" fillId="0" borderId="0" xfId="0" applyFont="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57" xfId="0" applyFont="1" applyBorder="1" applyAlignment="1">
      <alignment wrapText="1"/>
    </xf>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57"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9" fontId="3" fillId="0" borderId="19" xfId="20950" applyFont="1" applyBorder="1"/>
    <xf numFmtId="0" fontId="86" fillId="0" borderId="0" xfId="0" applyFont="1" applyAlignment="1">
      <alignment horizontal="center" wrapText="1"/>
    </xf>
    <xf numFmtId="0" fontId="84" fillId="0" borderId="62" xfId="0" applyFont="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2" xfId="0" applyFont="1" applyFill="1" applyBorder="1" applyAlignment="1">
      <alignment horizontal="left"/>
    </xf>
    <xf numFmtId="0" fontId="99" fillId="3" borderId="73" xfId="0" applyFont="1" applyFill="1" applyBorder="1" applyAlignment="1">
      <alignment horizontal="left"/>
    </xf>
    <xf numFmtId="0" fontId="4" fillId="3" borderId="76" xfId="0" applyFont="1" applyFill="1" applyBorder="1" applyAlignment="1">
      <alignment vertical="center"/>
    </xf>
    <xf numFmtId="0" fontId="3" fillId="3" borderId="77" xfId="0" applyFont="1" applyFill="1" applyBorder="1" applyAlignment="1">
      <alignment vertical="center"/>
    </xf>
    <xf numFmtId="0" fontId="3" fillId="3" borderId="78" xfId="0" applyFont="1" applyFill="1" applyBorder="1" applyAlignment="1">
      <alignment vertical="center"/>
    </xf>
    <xf numFmtId="0" fontId="3" fillId="0" borderId="61"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74" xfId="0" applyFont="1" applyBorder="1" applyAlignment="1">
      <alignment vertical="center"/>
    </xf>
    <xf numFmtId="0" fontId="4" fillId="0" borderId="74"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57"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3" fillId="0" borderId="84" xfId="0" applyFont="1" applyBorder="1" applyAlignment="1">
      <alignment horizontal="center" vertical="center"/>
    </xf>
    <xf numFmtId="0" fontId="3" fillId="0" borderId="85" xfId="0" applyFont="1" applyBorder="1" applyAlignment="1">
      <alignment vertical="center"/>
    </xf>
    <xf numFmtId="0" fontId="4" fillId="0" borderId="0" xfId="0" applyFont="1" applyAlignment="1">
      <alignment horizontal="center"/>
    </xf>
    <xf numFmtId="0" fontId="86" fillId="0" borderId="74" xfId="0" applyFont="1" applyBorder="1" applyAlignment="1">
      <alignment horizontal="center" vertical="center" wrapText="1"/>
    </xf>
    <xf numFmtId="0" fontId="86" fillId="0" borderId="75"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75"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74" xfId="0" applyFont="1" applyBorder="1" applyAlignment="1">
      <alignment vertical="center" wrapText="1"/>
    </xf>
    <xf numFmtId="14" fontId="2" fillId="3" borderId="74" xfId="8" quotePrefix="1" applyNumberFormat="1" applyFont="1" applyFill="1" applyBorder="1" applyAlignment="1" applyProtection="1">
      <alignment horizontal="left"/>
      <protection locked="0"/>
    </xf>
    <xf numFmtId="0" fontId="6" fillId="0" borderId="74" xfId="17" applyFill="1" applyBorder="1" applyAlignment="1" applyProtection="1"/>
    <xf numFmtId="49" fontId="84" fillId="0" borderId="74"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100" fillId="0" borderId="89" xfId="0" applyFont="1" applyBorder="1" applyAlignment="1">
      <alignment horizontal="left" vertical="center" wrapText="1"/>
    </xf>
    <xf numFmtId="1" fontId="3" fillId="0" borderId="75" xfId="0" applyNumberFormat="1" applyFont="1" applyBorder="1" applyAlignment="1">
      <alignment horizontal="right" vertical="center" wrapText="1"/>
    </xf>
    <xf numFmtId="10" fontId="4" fillId="35" borderId="89" xfId="0" applyNumberFormat="1" applyFont="1" applyFill="1" applyBorder="1" applyAlignment="1">
      <alignment horizontal="left" vertical="center" wrapText="1"/>
    </xf>
    <xf numFmtId="10" fontId="100" fillId="0" borderId="89" xfId="20950" applyNumberFormat="1" applyFont="1" applyFill="1" applyBorder="1" applyAlignment="1">
      <alignment horizontal="left" vertical="center" wrapText="1"/>
    </xf>
    <xf numFmtId="10" fontId="4" fillId="35" borderId="89" xfId="20950" applyNumberFormat="1" applyFont="1" applyFill="1" applyBorder="1" applyAlignment="1">
      <alignment horizontal="left" vertical="center" wrapText="1"/>
    </xf>
    <xf numFmtId="10" fontId="4" fillId="35" borderId="89" xfId="0" applyNumberFormat="1" applyFont="1" applyFill="1" applyBorder="1" applyAlignment="1">
      <alignment horizontal="center" vertical="center" wrapText="1"/>
    </xf>
    <xf numFmtId="0" fontId="4" fillId="35" borderId="89" xfId="0" applyFont="1" applyFill="1" applyBorder="1" applyAlignment="1">
      <alignment horizontal="left" vertical="center" wrapText="1"/>
    </xf>
    <xf numFmtId="0" fontId="3" fillId="0" borderId="89" xfId="0" applyFont="1" applyBorder="1" applyAlignment="1">
      <alignment horizontal="left" vertical="center" wrapText="1"/>
    </xf>
    <xf numFmtId="10" fontId="4" fillId="35" borderId="75" xfId="0" applyNumberFormat="1" applyFont="1" applyFill="1" applyBorder="1" applyAlignment="1">
      <alignment horizontal="left" vertical="center" wrapText="1"/>
    </xf>
    <xf numFmtId="10" fontId="4" fillId="35" borderId="75" xfId="20950" applyNumberFormat="1" applyFont="1" applyFill="1" applyBorder="1" applyAlignment="1">
      <alignment horizontal="left" vertical="center" wrapText="1"/>
    </xf>
    <xf numFmtId="0" fontId="4" fillId="35" borderId="75" xfId="0" applyFont="1" applyFill="1" applyBorder="1" applyAlignment="1">
      <alignment horizontal="center" vertical="center" wrapText="1"/>
    </xf>
    <xf numFmtId="0" fontId="4" fillId="35" borderId="76" xfId="0" applyFont="1" applyFill="1" applyBorder="1" applyAlignment="1">
      <alignment vertical="center" wrapText="1"/>
    </xf>
    <xf numFmtId="0" fontId="4" fillId="35" borderId="88" xfId="0" applyFont="1" applyFill="1" applyBorder="1" applyAlignment="1">
      <alignment vertical="center" wrapText="1"/>
    </xf>
    <xf numFmtId="0" fontId="4" fillId="35" borderId="63" xfId="0" applyFont="1" applyFill="1" applyBorder="1" applyAlignment="1">
      <alignment vertical="center" wrapText="1"/>
    </xf>
    <xf numFmtId="0" fontId="4" fillId="35" borderId="29" xfId="0" applyFont="1" applyFill="1" applyBorder="1" applyAlignment="1">
      <alignment vertical="center" wrapText="1"/>
    </xf>
    <xf numFmtId="0" fontId="84" fillId="0" borderId="89" xfId="0" applyFont="1" applyBorder="1"/>
    <xf numFmtId="0" fontId="6" fillId="0" borderId="89" xfId="17" applyFill="1" applyBorder="1" applyAlignment="1" applyProtection="1">
      <alignment horizontal="left" vertical="center"/>
    </xf>
    <xf numFmtId="0" fontId="6" fillId="0" borderId="89" xfId="17" applyBorder="1" applyAlignment="1" applyProtection="1"/>
    <xf numFmtId="0" fontId="6" fillId="0" borderId="89" xfId="17" applyFill="1" applyBorder="1" applyAlignment="1" applyProtection="1">
      <alignment horizontal="left" vertical="center" wrapText="1"/>
    </xf>
    <xf numFmtId="0" fontId="6" fillId="0" borderId="8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19" xfId="0" applyFont="1" applyBorder="1" applyAlignment="1">
      <alignment horizontal="center"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8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2" fillId="2" borderId="80" xfId="0" applyFont="1" applyFill="1" applyBorder="1" applyAlignment="1">
      <alignment horizontal="right" vertical="center"/>
    </xf>
    <xf numFmtId="0" fontId="2" fillId="0" borderId="87" xfId="0" applyFont="1" applyBorder="1" applyAlignment="1">
      <alignment vertical="center" wrapText="1"/>
    </xf>
    <xf numFmtId="191" fontId="2" fillId="2" borderId="87" xfId="0" applyNumberFormat="1" applyFont="1" applyFill="1" applyBorder="1" applyAlignment="1" applyProtection="1">
      <alignment vertical="center"/>
      <protection locked="0"/>
    </xf>
    <xf numFmtId="191" fontId="87" fillId="2" borderId="87" xfId="0" applyNumberFormat="1" applyFont="1" applyFill="1" applyBorder="1" applyAlignment="1" applyProtection="1">
      <alignment vertical="center"/>
      <protection locked="0"/>
    </xf>
    <xf numFmtId="191" fontId="87" fillId="2" borderId="83" xfId="0" applyNumberFormat="1" applyFont="1" applyFill="1" applyBorder="1" applyAlignment="1" applyProtection="1">
      <alignment vertical="center"/>
      <protection locked="0"/>
    </xf>
    <xf numFmtId="0" fontId="6" fillId="0" borderId="104" xfId="17" applyBorder="1" applyAlignment="1" applyProtection="1"/>
    <xf numFmtId="0" fontId="0" fillId="0" borderId="104" xfId="0" applyBorder="1" applyAlignment="1">
      <alignment horizontal="center"/>
    </xf>
    <xf numFmtId="0" fontId="0" fillId="0" borderId="113" xfId="0" applyBorder="1" applyAlignment="1">
      <alignment horizontal="center"/>
    </xf>
    <xf numFmtId="0" fontId="2" fillId="0" borderId="113" xfId="0" applyFont="1" applyBorder="1" applyAlignment="1">
      <alignment horizontal="center" vertical="center" wrapText="1"/>
    </xf>
    <xf numFmtId="0" fontId="0" fillId="0" borderId="113" xfId="0" applyBorder="1" applyAlignment="1">
      <alignment horizontal="center" vertical="center"/>
    </xf>
    <xf numFmtId="0" fontId="2" fillId="0" borderId="116" xfId="0" applyFont="1" applyBorder="1" applyAlignment="1">
      <alignment horizontal="left" vertical="center" wrapText="1" indent="4"/>
    </xf>
    <xf numFmtId="0" fontId="45" fillId="0" borderId="116" xfId="0" applyFont="1" applyBorder="1" applyAlignment="1">
      <alignment vertical="center" wrapText="1"/>
    </xf>
    <xf numFmtId="0" fontId="2" fillId="0" borderId="113" xfId="0" applyFont="1" applyBorder="1" applyAlignment="1" applyProtection="1">
      <alignment horizontal="left" vertical="center" indent="11"/>
      <protection locked="0"/>
    </xf>
    <xf numFmtId="0" fontId="46" fillId="0" borderId="113" xfId="0" applyFont="1" applyBorder="1" applyAlignment="1" applyProtection="1">
      <alignment horizontal="left" vertical="center" indent="17"/>
      <protection locked="0"/>
    </xf>
    <xf numFmtId="0" fontId="2" fillId="0" borderId="116" xfId="0" applyFont="1" applyBorder="1" applyAlignment="1">
      <alignment horizontal="left" vertical="center" wrapText="1"/>
    </xf>
    <xf numFmtId="191" fontId="94" fillId="0" borderId="0" xfId="0" applyNumberFormat="1" applyFont="1" applyAlignment="1">
      <alignment horizontal="right"/>
    </xf>
    <xf numFmtId="0" fontId="84" fillId="0" borderId="113" xfId="0" applyFont="1" applyBorder="1" applyAlignment="1">
      <alignment horizontal="center"/>
    </xf>
    <xf numFmtId="0" fontId="106" fillId="0" borderId="0" xfId="0" applyFont="1"/>
    <xf numFmtId="0" fontId="107" fillId="0" borderId="0" xfId="0" applyFont="1"/>
    <xf numFmtId="0" fontId="321" fillId="0" borderId="0" xfId="0" applyFont="1"/>
    <xf numFmtId="169" fontId="9" fillId="36" borderId="86" xfId="20" applyBorder="1"/>
    <xf numFmtId="0" fontId="94" fillId="0" borderId="173" xfId="0" applyFont="1" applyBorder="1" applyAlignment="1">
      <alignment horizontal="center" vertical="center" wrapText="1"/>
    </xf>
    <xf numFmtId="0" fontId="94" fillId="0" borderId="0" xfId="0" applyFont="1"/>
    <xf numFmtId="0" fontId="322" fillId="0" borderId="0" xfId="0" applyFont="1"/>
    <xf numFmtId="0" fontId="94" fillId="0" borderId="104" xfId="0" applyFont="1" applyBorder="1" applyAlignment="1">
      <alignment horizontal="center" vertical="center" wrapText="1"/>
    </xf>
    <xf numFmtId="0" fontId="324" fillId="0" borderId="104" xfId="20954" applyFont="1" applyBorder="1" applyAlignment="1">
      <alignment horizontal="center" vertical="center" wrapText="1"/>
    </xf>
    <xf numFmtId="0" fontId="324" fillId="0" borderId="113" xfId="20954" applyFont="1" applyBorder="1" applyAlignment="1">
      <alignment horizontal="center" vertical="center" wrapText="1"/>
    </xf>
    <xf numFmtId="0" fontId="322" fillId="0" borderId="0" xfId="0" applyFont="1" applyAlignment="1">
      <alignment horizontal="center"/>
    </xf>
    <xf numFmtId="0" fontId="322" fillId="0" borderId="0" xfId="0" applyFont="1" applyAlignment="1">
      <alignment horizontal="left" vertical="center"/>
    </xf>
    <xf numFmtId="0" fontId="86" fillId="0" borderId="113" xfId="0" applyFont="1" applyBorder="1" applyAlignment="1">
      <alignment vertical="center"/>
    </xf>
    <xf numFmtId="0" fontId="45" fillId="0" borderId="113" xfId="0" applyFont="1" applyBorder="1" applyAlignment="1">
      <alignment vertical="center" wrapText="1"/>
    </xf>
    <xf numFmtId="0" fontId="6" fillId="0" borderId="179" xfId="17" applyFill="1" applyBorder="1" applyAlignment="1" applyProtection="1"/>
    <xf numFmtId="0" fontId="84" fillId="0" borderId="179" xfId="0" applyFont="1" applyBorder="1"/>
    <xf numFmtId="0" fontId="84" fillId="0" borderId="0" xfId="0" applyFont="1" applyAlignment="1">
      <alignment vertical="top" wrapText="1"/>
    </xf>
    <xf numFmtId="0" fontId="0" fillId="0" borderId="0" xfId="0" applyAlignment="1">
      <alignment vertical="top"/>
    </xf>
    <xf numFmtId="0" fontId="91" fillId="3" borderId="0" xfId="37364" applyFont="1" applyFill="1" applyAlignment="1" applyProtection="1">
      <alignment vertical="center"/>
      <protection locked="0"/>
    </xf>
    <xf numFmtId="0" fontId="329" fillId="3" borderId="179" xfId="5" applyFont="1" applyFill="1" applyBorder="1" applyAlignment="1" applyProtection="1">
      <alignment vertical="center" wrapText="1"/>
      <protection locked="0"/>
    </xf>
    <xf numFmtId="0" fontId="329" fillId="0" borderId="179" xfId="37365" applyFont="1" applyBorder="1" applyAlignment="1" applyProtection="1">
      <alignment horizontal="center" vertical="center" wrapText="1"/>
      <protection locked="0"/>
    </xf>
    <xf numFmtId="3" fontId="329" fillId="3" borderId="179" xfId="1" applyNumberFormat="1" applyFont="1" applyFill="1" applyBorder="1" applyAlignment="1" applyProtection="1">
      <alignment horizontal="center" vertical="center" wrapText="1"/>
      <protection locked="0"/>
    </xf>
    <xf numFmtId="9" fontId="329" fillId="3" borderId="179" xfId="15" applyNumberFormat="1" applyFont="1" applyFill="1" applyBorder="1" applyAlignment="1" applyProtection="1">
      <alignment horizontal="center" vertical="center" wrapText="1"/>
      <protection locked="0"/>
    </xf>
    <xf numFmtId="0" fontId="329" fillId="3" borderId="179" xfId="37365" applyFont="1" applyFill="1" applyBorder="1" applyAlignment="1" applyProtection="1">
      <alignment horizontal="center" vertical="center" wrapText="1"/>
      <protection locked="0"/>
    </xf>
    <xf numFmtId="0" fontId="91" fillId="3" borderId="179" xfId="37365" applyFont="1" applyFill="1" applyBorder="1" applyProtection="1">
      <protection locked="0"/>
    </xf>
    <xf numFmtId="3" fontId="329" fillId="146" borderId="179" xfId="5" applyNumberFormat="1" applyFont="1" applyFill="1" applyBorder="1"/>
    <xf numFmtId="0" fontId="330" fillId="3" borderId="179" xfId="37365" applyFont="1" applyFill="1" applyBorder="1" applyAlignment="1" applyProtection="1">
      <alignment horizontal="right"/>
      <protection locked="0"/>
    </xf>
    <xf numFmtId="0" fontId="329" fillId="3" borderId="179" xfId="37365" applyFont="1" applyFill="1" applyBorder="1" applyAlignment="1" applyProtection="1">
      <alignment horizontal="left" vertical="center"/>
      <protection locked="0"/>
    </xf>
    <xf numFmtId="0" fontId="329" fillId="3" borderId="179" xfId="5" applyFont="1" applyFill="1" applyBorder="1" applyProtection="1">
      <protection locked="0"/>
    </xf>
    <xf numFmtId="0" fontId="331" fillId="3" borderId="179" xfId="37365" applyFont="1" applyFill="1" applyBorder="1" applyAlignment="1" applyProtection="1">
      <alignment horizontal="right"/>
      <protection locked="0"/>
    </xf>
    <xf numFmtId="0" fontId="329" fillId="0" borderId="179" xfId="37365" applyFont="1" applyBorder="1" applyAlignment="1" applyProtection="1">
      <alignment horizontal="left" vertical="center"/>
      <protection locked="0"/>
    </xf>
    <xf numFmtId="0" fontId="91" fillId="3" borderId="179" xfId="16" applyFont="1" applyFill="1" applyBorder="1" applyProtection="1">
      <protection locked="0"/>
    </xf>
    <xf numFmtId="0" fontId="45" fillId="75" borderId="90" xfId="20952" applyFont="1" applyFill="1" applyBorder="1">
      <alignment vertical="center"/>
    </xf>
    <xf numFmtId="0" fontId="45" fillId="75" borderId="91" xfId="20952" applyFont="1" applyFill="1" applyBorder="1">
      <alignment vertical="center"/>
    </xf>
    <xf numFmtId="0" fontId="45" fillId="75" borderId="88" xfId="20952" applyFont="1" applyFill="1" applyBorder="1">
      <alignment vertical="center"/>
    </xf>
    <xf numFmtId="0" fontId="2" fillId="69" borderId="87" xfId="20952" applyFill="1" applyBorder="1" applyAlignment="1">
      <alignment horizontal="center" vertical="center"/>
    </xf>
    <xf numFmtId="0" fontId="2" fillId="69" borderId="88" xfId="20952" applyFill="1" applyBorder="1" applyAlignment="1">
      <alignment horizontal="left" vertical="center" wrapText="1"/>
    </xf>
    <xf numFmtId="164" fontId="2" fillId="0" borderId="89" xfId="7" applyNumberFormat="1" applyFont="1" applyFill="1" applyBorder="1" applyAlignment="1" applyProtection="1">
      <alignment horizontal="right" vertical="center"/>
      <protection locked="0"/>
    </xf>
    <xf numFmtId="0" fontId="45" fillId="76" borderId="89" xfId="20952" applyFont="1" applyFill="1" applyBorder="1" applyAlignment="1">
      <alignment horizontal="center" vertical="center"/>
    </xf>
    <xf numFmtId="0" fontId="45" fillId="76" borderId="91" xfId="20952" applyFont="1" applyFill="1" applyBorder="1" applyAlignment="1">
      <alignment vertical="top" wrapText="1"/>
    </xf>
    <xf numFmtId="164" fontId="45" fillId="75" borderId="88" xfId="7" applyNumberFormat="1" applyFont="1" applyFill="1" applyBorder="1" applyAlignment="1">
      <alignment horizontal="right" vertical="center"/>
    </xf>
    <xf numFmtId="0" fontId="2" fillId="69" borderId="91" xfId="20952" applyFill="1" applyBorder="1" applyAlignment="1">
      <alignment vertical="center" wrapText="1"/>
    </xf>
    <xf numFmtId="0" fontId="2" fillId="69" borderId="88" xfId="20952" applyFill="1" applyBorder="1" applyAlignment="1">
      <alignment horizontal="left" vertical="center"/>
    </xf>
    <xf numFmtId="0" fontId="2" fillId="3" borderId="87" xfId="20952" applyFill="1" applyBorder="1" applyAlignment="1">
      <alignment horizontal="center" vertical="center"/>
    </xf>
    <xf numFmtId="0" fontId="45" fillId="76" borderId="91" xfId="20952" applyFont="1" applyFill="1" applyBorder="1">
      <alignment vertical="center"/>
    </xf>
    <xf numFmtId="164" fontId="2" fillId="76" borderId="89" xfId="7" applyNumberFormat="1" applyFont="1" applyFill="1" applyBorder="1" applyAlignment="1" applyProtection="1">
      <alignment horizontal="right" vertical="center"/>
      <protection locked="0"/>
    </xf>
    <xf numFmtId="0" fontId="105" fillId="69" borderId="186" xfId="20952" applyFont="1" applyFill="1" applyBorder="1" applyAlignment="1" applyProtection="1">
      <alignment horizontal="center" vertical="center"/>
      <protection locked="0"/>
    </xf>
    <xf numFmtId="0" fontId="104" fillId="76" borderId="179" xfId="20952" applyFont="1" applyFill="1" applyBorder="1" applyAlignment="1" applyProtection="1">
      <alignment horizontal="center" vertical="center"/>
      <protection locked="0"/>
    </xf>
    <xf numFmtId="164" fontId="2" fillId="3" borderId="89" xfId="7" applyNumberFormat="1" applyFont="1" applyFill="1" applyBorder="1" applyAlignment="1" applyProtection="1">
      <alignment horizontal="right" vertical="center"/>
      <protection locked="0"/>
    </xf>
    <xf numFmtId="0" fontId="45" fillId="3" borderId="91" xfId="20952" applyFont="1" applyFill="1" applyBorder="1">
      <alignment vertical="center"/>
    </xf>
    <xf numFmtId="0" fontId="2" fillId="69" borderId="89" xfId="20952" applyFill="1" applyBorder="1" applyAlignment="1">
      <alignment horizontal="center" vertical="center"/>
    </xf>
    <xf numFmtId="0" fontId="332" fillId="0" borderId="0" xfId="37364" applyFont="1" applyAlignment="1" applyProtection="1">
      <alignment vertical="center"/>
      <protection locked="0"/>
    </xf>
    <xf numFmtId="0" fontId="329" fillId="0" borderId="179" xfId="37365" applyFont="1" applyBorder="1" applyAlignment="1" applyProtection="1">
      <alignment horizontal="center" vertical="top" wrapText="1"/>
      <protection locked="0"/>
    </xf>
    <xf numFmtId="0" fontId="91" fillId="3" borderId="179" xfId="37365" applyFont="1" applyFill="1" applyBorder="1" applyAlignment="1" applyProtection="1">
      <alignment wrapText="1"/>
      <protection locked="0"/>
    </xf>
    <xf numFmtId="0" fontId="84" fillId="3" borderId="54" xfId="0" applyFont="1" applyFill="1" applyBorder="1"/>
    <xf numFmtId="0" fontId="84" fillId="3" borderId="92" xfId="0" applyFont="1" applyFill="1" applyBorder="1" applyAlignment="1">
      <alignment wrapText="1"/>
    </xf>
    <xf numFmtId="0" fontId="84" fillId="3" borderId="93" xfId="0" applyFont="1" applyFill="1" applyBorder="1"/>
    <xf numFmtId="0" fontId="86" fillId="3" borderId="69" xfId="0" applyFont="1" applyFill="1" applyBorder="1" applyAlignment="1">
      <alignment horizontal="center" wrapText="1"/>
    </xf>
    <xf numFmtId="0" fontId="84" fillId="0" borderId="89" xfId="0" applyFont="1" applyBorder="1" applyAlignment="1">
      <alignment horizontal="center"/>
    </xf>
    <xf numFmtId="0" fontId="84" fillId="3" borderId="57"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6" xfId="0" applyFont="1" applyFill="1" applyBorder="1" applyAlignment="1">
      <alignment horizontal="center" vertical="center" wrapText="1"/>
    </xf>
    <xf numFmtId="0" fontId="84" fillId="0" borderId="89" xfId="0" applyFont="1" applyBorder="1" applyAlignment="1">
      <alignment wrapText="1"/>
    </xf>
    <xf numFmtId="164" fontId="84" fillId="0" borderId="89" xfId="7" applyNumberFormat="1" applyFont="1" applyBorder="1"/>
    <xf numFmtId="164" fontId="84" fillId="0" borderId="75" xfId="7" applyNumberFormat="1" applyFont="1" applyBorder="1"/>
    <xf numFmtId="0" fontId="88" fillId="0" borderId="89" xfId="0" applyFont="1" applyBorder="1" applyAlignment="1">
      <alignment horizontal="left" wrapText="1" indent="2"/>
    </xf>
    <xf numFmtId="169" fontId="2" fillId="36" borderId="89" xfId="20" applyFont="1" applyBorder="1"/>
    <xf numFmtId="164" fontId="84" fillId="0" borderId="89" xfId="7" applyNumberFormat="1" applyFont="1" applyBorder="1" applyAlignment="1">
      <alignment vertical="center"/>
    </xf>
    <xf numFmtId="0" fontId="86" fillId="0" borderId="18" xfId="0" applyFont="1" applyBorder="1"/>
    <xf numFmtId="0" fontId="86" fillId="0" borderId="89" xfId="0" applyFont="1" applyBorder="1" applyAlignment="1">
      <alignment wrapText="1"/>
    </xf>
    <xf numFmtId="164" fontId="86" fillId="0" borderId="75" xfId="7" applyNumberFormat="1" applyFont="1" applyBorder="1"/>
    <xf numFmtId="0" fontId="90" fillId="3" borderId="57" xfId="0" applyFont="1" applyFill="1" applyBorder="1" applyAlignment="1">
      <alignment horizontal="left"/>
    </xf>
    <xf numFmtId="0" fontId="90" fillId="3" borderId="0" xfId="0" applyFont="1" applyFill="1" applyAlignment="1">
      <alignment horizontal="center"/>
    </xf>
    <xf numFmtId="164" fontId="84" fillId="3" borderId="0" xfId="7" applyNumberFormat="1" applyFont="1" applyFill="1" applyBorder="1"/>
    <xf numFmtId="164" fontId="84" fillId="3" borderId="0" xfId="7" applyNumberFormat="1" applyFont="1" applyFill="1" applyBorder="1" applyAlignment="1">
      <alignment vertical="center"/>
    </xf>
    <xf numFmtId="164" fontId="84" fillId="3" borderId="86" xfId="7" applyNumberFormat="1" applyFont="1" applyFill="1" applyBorder="1"/>
    <xf numFmtId="164" fontId="84" fillId="0" borderId="89" xfId="7" applyNumberFormat="1" applyFont="1" applyFill="1" applyBorder="1"/>
    <xf numFmtId="164" fontId="84" fillId="0" borderId="89" xfId="7" applyNumberFormat="1" applyFont="1" applyFill="1" applyBorder="1" applyAlignment="1">
      <alignment vertical="center"/>
    </xf>
    <xf numFmtId="0" fontId="88" fillId="0" borderId="89"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6" xfId="0" applyFont="1" applyFill="1" applyBorder="1"/>
    <xf numFmtId="0" fontId="86" fillId="0" borderId="21" xfId="0" applyFont="1" applyBorder="1"/>
    <xf numFmtId="0" fontId="86" fillId="0" borderId="22" xfId="0" applyFont="1" applyBorder="1" applyAlignment="1">
      <alignment wrapText="1"/>
    </xf>
    <xf numFmtId="169" fontId="2" fillId="36" borderId="24" xfId="20" applyFont="1" applyBorder="1"/>
    <xf numFmtId="169" fontId="2" fillId="36" borderId="82" xfId="20" applyFont="1" applyBorder="1"/>
    <xf numFmtId="169" fontId="2" fillId="36" borderId="25" xfId="20" applyFont="1" applyBorder="1"/>
    <xf numFmtId="10" fontId="86" fillId="0" borderId="23" xfId="20950" applyNumberFormat="1" applyFont="1" applyBorder="1"/>
    <xf numFmtId="0" fontId="84" fillId="0" borderId="0" xfId="0" applyFont="1" applyAlignment="1">
      <alignment vertical="top"/>
    </xf>
    <xf numFmtId="0" fontId="333" fillId="0" borderId="0" xfId="0" applyFont="1"/>
    <xf numFmtId="0" fontId="105" fillId="0" borderId="0" xfId="11" applyFont="1"/>
    <xf numFmtId="0" fontId="334" fillId="0" borderId="0" xfId="11" applyFont="1"/>
    <xf numFmtId="0" fontId="335" fillId="0" borderId="113" xfId="0" applyFont="1" applyBorder="1" applyAlignment="1">
      <alignment horizontal="center" vertical="center" wrapText="1"/>
    </xf>
    <xf numFmtId="49" fontId="105" fillId="3" borderId="113" xfId="5" applyNumberFormat="1" applyFont="1" applyFill="1" applyBorder="1" applyAlignment="1" applyProtection="1">
      <alignment horizontal="right" vertical="center"/>
      <protection locked="0"/>
    </xf>
    <xf numFmtId="0" fontId="105" fillId="3" borderId="113" xfId="13" applyFont="1" applyFill="1" applyBorder="1" applyAlignment="1" applyProtection="1">
      <alignment horizontal="left" vertical="center" wrapText="1"/>
      <protection locked="0"/>
    </xf>
    <xf numFmtId="0" fontId="335" fillId="0" borderId="113" xfId="0" applyFont="1" applyBorder="1"/>
    <xf numFmtId="0" fontId="105" fillId="0" borderId="113" xfId="13" applyFont="1" applyBorder="1" applyAlignment="1" applyProtection="1">
      <alignment horizontal="left" vertical="center" wrapText="1"/>
      <protection locked="0"/>
    </xf>
    <xf numFmtId="0" fontId="336" fillId="0" borderId="113" xfId="13" applyFont="1" applyBorder="1" applyAlignment="1" applyProtection="1">
      <alignment horizontal="left" vertical="center" wrapText="1"/>
      <protection locked="0"/>
    </xf>
    <xf numFmtId="49" fontId="105" fillId="0" borderId="113" xfId="5" applyNumberFormat="1" applyFont="1" applyBorder="1" applyAlignment="1" applyProtection="1">
      <alignment horizontal="right" vertical="center"/>
      <protection locked="0"/>
    </xf>
    <xf numFmtId="49" fontId="104" fillId="0" borderId="113" xfId="5" applyNumberFormat="1" applyFont="1" applyBorder="1" applyAlignment="1" applyProtection="1">
      <alignment horizontal="right" vertical="center"/>
      <protection locked="0"/>
    </xf>
    <xf numFmtId="0" fontId="333" fillId="0" borderId="0" xfId="0" applyFont="1" applyAlignment="1">
      <alignment horizontal="left" vertical="top" wrapText="1"/>
    </xf>
    <xf numFmtId="0" fontId="105" fillId="0" borderId="0" xfId="0" applyFont="1"/>
    <xf numFmtId="0" fontId="105" fillId="0" borderId="0" xfId="0" applyFont="1" applyAlignment="1">
      <alignment wrapText="1"/>
    </xf>
    <xf numFmtId="0" fontId="105" fillId="0" borderId="113" xfId="0" applyFont="1" applyBorder="1" applyAlignment="1">
      <alignment horizontal="center" vertical="center"/>
    </xf>
    <xf numFmtId="0" fontId="105" fillId="0" borderId="113" xfId="0" applyFont="1" applyBorder="1" applyAlignment="1">
      <alignment horizontal="center" vertical="center" wrapText="1"/>
    </xf>
    <xf numFmtId="0" fontId="105" fillId="0" borderId="117" xfId="0" applyFont="1" applyBorder="1" applyAlignment="1">
      <alignment horizontal="center" vertical="center" wrapText="1"/>
    </xf>
    <xf numFmtId="49" fontId="105" fillId="3" borderId="113" xfId="5" applyNumberFormat="1" applyFont="1" applyFill="1" applyBorder="1" applyAlignment="1" applyProtection="1">
      <alignment horizontal="right" vertical="center" wrapText="1"/>
      <protection locked="0"/>
    </xf>
    <xf numFmtId="0" fontId="105" fillId="0" borderId="113" xfId="0" applyFont="1" applyBorder="1"/>
    <xf numFmtId="49" fontId="105" fillId="0" borderId="113" xfId="5" applyNumberFormat="1" applyFont="1" applyBorder="1" applyAlignment="1" applyProtection="1">
      <alignment horizontal="right" vertical="center" wrapText="1"/>
      <protection locked="0"/>
    </xf>
    <xf numFmtId="49" fontId="104" fillId="0" borderId="113" xfId="5" applyNumberFormat="1" applyFont="1" applyBorder="1" applyAlignment="1" applyProtection="1">
      <alignment horizontal="right" vertical="center" wrapText="1"/>
      <protection locked="0"/>
    </xf>
    <xf numFmtId="0" fontId="104" fillId="0" borderId="113" xfId="0" applyFont="1" applyBorder="1"/>
    <xf numFmtId="0" fontId="105" fillId="0" borderId="113" xfId="0" applyFont="1" applyBorder="1" applyAlignment="1">
      <alignment wrapText="1"/>
    </xf>
    <xf numFmtId="0" fontId="105" fillId="0" borderId="113" xfId="0" applyFont="1" applyBorder="1" applyAlignment="1">
      <alignment horizontal="left" indent="8"/>
    </xf>
    <xf numFmtId="0" fontId="333" fillId="0" borderId="0" xfId="0" applyFont="1" applyAlignment="1">
      <alignment wrapText="1"/>
    </xf>
    <xf numFmtId="0" fontId="105" fillId="0" borderId="113" xfId="0" applyFont="1" applyBorder="1" applyAlignment="1">
      <alignment horizontal="left" vertical="center" wrapText="1"/>
    </xf>
    <xf numFmtId="0" fontId="333" fillId="0" borderId="0" xfId="0" applyFont="1" applyAlignment="1">
      <alignment horizontal="left"/>
    </xf>
    <xf numFmtId="0" fontId="104" fillId="0" borderId="113" xfId="0" applyFont="1" applyBorder="1" applyAlignment="1">
      <alignment horizontal="left" indent="1"/>
    </xf>
    <xf numFmtId="0" fontId="104" fillId="0" borderId="113" xfId="0" applyFont="1" applyBorder="1" applyAlignment="1">
      <alignment horizontal="left" wrapText="1" indent="1"/>
    </xf>
    <xf numFmtId="0" fontId="333" fillId="0" borderId="113" xfId="0" applyFont="1" applyBorder="1"/>
    <xf numFmtId="0" fontId="105" fillId="0" borderId="113" xfId="0" applyFont="1" applyBorder="1" applyAlignment="1">
      <alignment horizontal="left" indent="1"/>
    </xf>
    <xf numFmtId="0" fontId="105" fillId="0" borderId="113" xfId="0" applyFont="1" applyBorder="1" applyAlignment="1">
      <alignment horizontal="left" indent="3"/>
    </xf>
    <xf numFmtId="0" fontId="105" fillId="0" borderId="113" xfId="0" applyFont="1" applyBorder="1" applyAlignment="1">
      <alignment horizontal="left" wrapText="1" indent="4"/>
    </xf>
    <xf numFmtId="0" fontId="105" fillId="0" borderId="113" xfId="0" applyFont="1" applyBorder="1" applyAlignment="1">
      <alignment horizontal="left" wrapText="1" indent="1"/>
    </xf>
    <xf numFmtId="0" fontId="104" fillId="0" borderId="113" xfId="0" applyFont="1" applyBorder="1" applyAlignment="1">
      <alignment horizontal="left" vertical="center" indent="1"/>
    </xf>
    <xf numFmtId="0" fontId="333" fillId="77" borderId="113" xfId="0" applyFont="1" applyFill="1" applyBorder="1"/>
    <xf numFmtId="0" fontId="333" fillId="0" borderId="113" xfId="0" applyFont="1" applyBorder="1" applyAlignment="1">
      <alignment horizontal="left" wrapText="1"/>
    </xf>
    <xf numFmtId="0" fontId="333" fillId="0" borderId="113" xfId="0" applyFont="1" applyBorder="1" applyAlignment="1">
      <alignment horizontal="left" wrapText="1" indent="2"/>
    </xf>
    <xf numFmtId="0" fontId="335" fillId="0" borderId="7" xfId="0" applyFont="1" applyBorder="1"/>
    <xf numFmtId="0" fontId="105" fillId="0" borderId="97" xfId="0" applyFont="1" applyBorder="1" applyAlignment="1">
      <alignment horizontal="center" vertical="center" wrapText="1"/>
    </xf>
    <xf numFmtId="0" fontId="105" fillId="0" borderId="116" xfId="0" applyFont="1" applyBorder="1" applyAlignment="1">
      <alignment horizontal="center" vertical="center" wrapText="1"/>
    </xf>
    <xf numFmtId="0" fontId="105" fillId="0" borderId="0" xfId="0" applyFont="1" applyAlignment="1">
      <alignment horizontal="center" vertical="center" wrapText="1"/>
    </xf>
    <xf numFmtId="0" fontId="105" fillId="0" borderId="96" xfId="0" applyFont="1" applyBorder="1" applyAlignment="1">
      <alignment horizontal="center" vertical="center" wrapText="1"/>
    </xf>
    <xf numFmtId="0" fontId="105" fillId="0" borderId="7" xfId="0" applyFont="1" applyBorder="1" applyAlignment="1">
      <alignment wrapText="1"/>
    </xf>
    <xf numFmtId="0" fontId="105" fillId="0" borderId="7" xfId="0" applyFont="1" applyBorder="1" applyAlignment="1">
      <alignment horizontal="center" vertical="center" wrapText="1"/>
    </xf>
    <xf numFmtId="0" fontId="105" fillId="0" borderId="113" xfId="0" applyFont="1" applyBorder="1" applyAlignment="1">
      <alignment horizontal="center"/>
    </xf>
    <xf numFmtId="0" fontId="105" fillId="0" borderId="0" xfId="0" applyFont="1" applyAlignment="1">
      <alignment horizontal="center" vertical="center"/>
    </xf>
    <xf numFmtId="0" fontId="6" fillId="0" borderId="192" xfId="17" applyBorder="1" applyAlignment="1" applyProtection="1">
      <alignment vertical="center"/>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2" fillId="36" borderId="0" xfId="20950" applyNumberFormat="1" applyFont="1" applyFill="1"/>
    <xf numFmtId="10" fontId="2" fillId="0" borderId="3" xfId="20950" applyNumberFormat="1" applyFont="1" applyBorder="1" applyAlignment="1" applyProtection="1">
      <alignment horizontal="center" vertical="center" wrapText="1"/>
      <protection locked="0"/>
    </xf>
    <xf numFmtId="10" fontId="2" fillId="2" borderId="87"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64" fontId="322" fillId="0" borderId="104" xfId="7" applyNumberFormat="1" applyFont="1" applyBorder="1" applyAlignment="1">
      <alignment vertical="center"/>
    </xf>
    <xf numFmtId="164" fontId="322" fillId="35" borderId="104" xfId="7" applyNumberFormat="1" applyFont="1" applyFill="1" applyBorder="1" applyAlignment="1">
      <alignment vertical="center"/>
    </xf>
    <xf numFmtId="164" fontId="0" fillId="0" borderId="113" xfId="7" applyNumberFormat="1" applyFont="1" applyBorder="1"/>
    <xf numFmtId="164" fontId="0" fillId="0" borderId="179" xfId="7" applyNumberFormat="1" applyFont="1" applyBorder="1"/>
    <xf numFmtId="164" fontId="0" fillId="35" borderId="113" xfId="7" applyNumberFormat="1" applyFont="1" applyFill="1" applyBorder="1"/>
    <xf numFmtId="164" fontId="0" fillId="35" borderId="179" xfId="7" applyNumberFormat="1" applyFont="1" applyFill="1" applyBorder="1"/>
    <xf numFmtId="164" fontId="103" fillId="35" borderId="89" xfId="7" applyNumberFormat="1" applyFont="1" applyFill="1" applyBorder="1" applyAlignment="1">
      <alignment vertical="center" wrapText="1"/>
    </xf>
    <xf numFmtId="164" fontId="103" fillId="0" borderId="89" xfId="7" applyNumberFormat="1" applyFont="1" applyBorder="1" applyAlignment="1">
      <alignment vertical="center" wrapText="1"/>
    </xf>
    <xf numFmtId="164" fontId="103" fillId="35" borderId="22" xfId="7" applyNumberFormat="1" applyFont="1" applyFill="1" applyBorder="1" applyAlignment="1">
      <alignment vertical="center" wrapText="1"/>
    </xf>
    <xf numFmtId="164" fontId="3" fillId="0" borderId="75" xfId="7" applyNumberFormat="1" applyFont="1" applyBorder="1" applyAlignment="1">
      <alignment horizontal="right" vertical="center" wrapText="1"/>
    </xf>
    <xf numFmtId="164" fontId="3" fillId="0" borderId="23" xfId="7" applyNumberFormat="1" applyFont="1" applyBorder="1" applyAlignment="1">
      <alignment horizontal="right" vertical="center" wrapText="1"/>
    </xf>
    <xf numFmtId="10" fontId="96" fillId="0" borderId="89" xfId="20950" applyNumberFormat="1" applyFont="1" applyFill="1" applyBorder="1" applyAlignment="1">
      <alignment horizontal="center" vertical="center" wrapText="1"/>
    </xf>
    <xf numFmtId="10" fontId="3" fillId="0" borderId="89" xfId="20950" applyNumberFormat="1" applyFont="1" applyFill="1" applyBorder="1" applyAlignment="1">
      <alignment horizontal="center" vertical="center" wrapText="1"/>
    </xf>
    <xf numFmtId="10" fontId="100" fillId="0" borderId="89" xfId="2095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center" vertical="center"/>
    </xf>
    <xf numFmtId="164" fontId="84" fillId="0" borderId="3" xfId="7" applyNumberFormat="1" applyFont="1" applyBorder="1"/>
    <xf numFmtId="164" fontId="84" fillId="35" borderId="22" xfId="7" applyNumberFormat="1" applyFont="1" applyFill="1" applyBorder="1"/>
    <xf numFmtId="164" fontId="84" fillId="0" borderId="18" xfId="7" applyNumberFormat="1" applyFont="1" applyBorder="1"/>
    <xf numFmtId="164" fontId="84" fillId="0" borderId="19" xfId="7" applyNumberFormat="1" applyFont="1" applyBorder="1"/>
    <xf numFmtId="164" fontId="84" fillId="0" borderId="20" xfId="7" applyNumberFormat="1" applyFont="1" applyBorder="1"/>
    <xf numFmtId="164" fontId="84" fillId="35" borderId="52" xfId="7" applyNumberFormat="1" applyFont="1" applyFill="1" applyBorder="1"/>
    <xf numFmtId="164" fontId="84" fillId="35" borderId="21" xfId="7" applyNumberFormat="1" applyFont="1" applyFill="1" applyBorder="1"/>
    <xf numFmtId="164" fontId="84" fillId="35" borderId="23" xfId="7" applyNumberFormat="1" applyFont="1" applyFill="1" applyBorder="1"/>
    <xf numFmtId="164" fontId="84" fillId="35" borderId="53" xfId="7" applyNumberFormat="1" applyFont="1" applyFill="1" applyBorder="1"/>
    <xf numFmtId="164" fontId="3" fillId="0" borderId="3" xfId="7" applyNumberFormat="1" applyFont="1" applyBorder="1"/>
    <xf numFmtId="164" fontId="3" fillId="0" borderId="8" xfId="7" applyNumberFormat="1" applyFont="1" applyBorder="1"/>
    <xf numFmtId="0" fontId="96" fillId="0" borderId="3" xfId="0" applyFont="1" applyBorder="1" applyAlignment="1">
      <alignment horizontal="center" vertical="center" wrapText="1"/>
    </xf>
    <xf numFmtId="169" fontId="96" fillId="36" borderId="0" xfId="20" applyFont="1"/>
    <xf numFmtId="164" fontId="3" fillId="0" borderId="175" xfId="7" applyNumberFormat="1" applyFont="1" applyBorder="1" applyAlignment="1">
      <alignment vertical="center"/>
    </xf>
    <xf numFmtId="164" fontId="4" fillId="0" borderId="175" xfId="7" applyNumberFormat="1" applyFont="1" applyBorder="1" applyAlignment="1">
      <alignment vertical="center"/>
    </xf>
    <xf numFmtId="164" fontId="4" fillId="0" borderId="75" xfId="7" applyNumberFormat="1" applyFont="1" applyBorder="1" applyAlignment="1">
      <alignment vertical="center"/>
    </xf>
    <xf numFmtId="164" fontId="3" fillId="0" borderId="179" xfId="7" applyNumberFormat="1" applyFont="1" applyBorder="1" applyAlignment="1">
      <alignment vertical="center"/>
    </xf>
    <xf numFmtId="164" fontId="4" fillId="0" borderId="179" xfId="7" applyNumberFormat="1" applyFont="1" applyBorder="1" applyAlignment="1">
      <alignment vertical="center"/>
    </xf>
    <xf numFmtId="164" fontId="3" fillId="0" borderId="75" xfId="7" applyNumberFormat="1" applyFont="1" applyBorder="1" applyAlignment="1">
      <alignment vertical="center"/>
    </xf>
    <xf numFmtId="164" fontId="4" fillId="0" borderId="22" xfId="7" applyNumberFormat="1" applyFont="1" applyBorder="1" applyAlignment="1">
      <alignment vertical="center"/>
    </xf>
    <xf numFmtId="164" fontId="4" fillId="0" borderId="24" xfId="7" applyNumberFormat="1" applyFont="1" applyBorder="1" applyAlignment="1">
      <alignment vertical="center"/>
    </xf>
    <xf numFmtId="164" fontId="4" fillId="0" borderId="23" xfId="7" applyNumberFormat="1" applyFont="1" applyBorder="1" applyAlignment="1">
      <alignment vertical="center"/>
    </xf>
    <xf numFmtId="169" fontId="96" fillId="36" borderId="55" xfId="20" applyFont="1" applyBorder="1"/>
    <xf numFmtId="164" fontId="4" fillId="0" borderId="193" xfId="7" applyNumberFormat="1" applyFont="1" applyBorder="1" applyAlignment="1">
      <alignment vertical="center"/>
    </xf>
    <xf numFmtId="164" fontId="4" fillId="0" borderId="194" xfId="7" applyNumberFormat="1" applyFont="1" applyBorder="1" applyAlignment="1">
      <alignment vertical="center"/>
    </xf>
    <xf numFmtId="169" fontId="96" fillId="36" borderId="24" xfId="20" applyFont="1" applyBorder="1"/>
    <xf numFmtId="169" fontId="96" fillId="36" borderId="82" xfId="20" applyFont="1" applyBorder="1"/>
    <xf numFmtId="169" fontId="96" fillId="36" borderId="25" xfId="20" applyFont="1" applyBorder="1"/>
    <xf numFmtId="164" fontId="4" fillId="0" borderId="176" xfId="7" applyNumberFormat="1" applyFont="1" applyBorder="1" applyAlignment="1">
      <alignment vertical="center"/>
    </xf>
    <xf numFmtId="164" fontId="4" fillId="0" borderId="83" xfId="7" applyNumberFormat="1" applyFont="1" applyBorder="1" applyAlignment="1">
      <alignment vertical="center"/>
    </xf>
    <xf numFmtId="169" fontId="96" fillId="36" borderId="30" xfId="20" applyFont="1" applyBorder="1"/>
    <xf numFmtId="164" fontId="329" fillId="146" borderId="179" xfId="7" applyNumberFormat="1" applyFont="1" applyFill="1" applyBorder="1"/>
    <xf numFmtId="164" fontId="329" fillId="146" borderId="179" xfId="7" applyNumberFormat="1" applyFont="1" applyFill="1" applyBorder="1" applyAlignment="1" applyProtection="1"/>
    <xf numFmtId="164" fontId="329" fillId="3" borderId="179" xfId="7" applyNumberFormat="1" applyFont="1" applyFill="1" applyBorder="1" applyProtection="1">
      <protection locked="0"/>
    </xf>
    <xf numFmtId="164" fontId="91" fillId="75" borderId="179" xfId="7" applyNumberFormat="1" applyFont="1" applyFill="1" applyBorder="1"/>
    <xf numFmtId="164" fontId="329" fillId="0" borderId="179" xfId="7" applyNumberFormat="1" applyFont="1" applyBorder="1"/>
    <xf numFmtId="164" fontId="2" fillId="36" borderId="89" xfId="7" applyNumberFormat="1" applyFont="1" applyFill="1" applyBorder="1"/>
    <xf numFmtId="164" fontId="105" fillId="0" borderId="113" xfId="7" applyNumberFormat="1" applyFont="1" applyBorder="1"/>
    <xf numFmtId="164" fontId="105" fillId="35" borderId="113" xfId="7" applyNumberFormat="1" applyFont="1" applyFill="1" applyBorder="1"/>
    <xf numFmtId="164" fontId="104" fillId="0" borderId="113" xfId="7" applyNumberFormat="1" applyFont="1" applyBorder="1"/>
    <xf numFmtId="164" fontId="104" fillId="35" borderId="113" xfId="7" applyNumberFormat="1" applyFont="1" applyFill="1" applyBorder="1"/>
    <xf numFmtId="164" fontId="104" fillId="0" borderId="179" xfId="7" applyNumberFormat="1" applyFont="1" applyBorder="1" applyAlignment="1">
      <alignment vertical="center"/>
    </xf>
    <xf numFmtId="164" fontId="105" fillId="0" borderId="179" xfId="7" applyNumberFormat="1" applyFont="1" applyBorder="1" applyAlignment="1">
      <alignment horizontal="left" vertical="center"/>
    </xf>
    <xf numFmtId="164" fontId="105" fillId="0" borderId="179" xfId="7" applyNumberFormat="1" applyFont="1" applyBorder="1" applyAlignment="1">
      <alignment vertical="center"/>
    </xf>
    <xf numFmtId="164" fontId="105" fillId="0" borderId="179" xfId="7" applyNumberFormat="1" applyFont="1" applyFill="1" applyBorder="1" applyAlignment="1">
      <alignment horizontal="left" vertical="center"/>
    </xf>
    <xf numFmtId="164" fontId="105" fillId="0" borderId="179" xfId="7" applyNumberFormat="1" applyFont="1" applyFill="1" applyBorder="1" applyAlignment="1">
      <alignment vertical="center"/>
    </xf>
    <xf numFmtId="164" fontId="105" fillId="146" borderId="179" xfId="7" applyNumberFormat="1" applyFont="1" applyFill="1" applyBorder="1" applyAlignment="1">
      <alignment vertical="center"/>
    </xf>
    <xf numFmtId="164" fontId="45" fillId="0" borderId="61" xfId="7" applyNumberFormat="1" applyFont="1" applyBorder="1" applyAlignment="1">
      <alignment vertical="center"/>
    </xf>
    <xf numFmtId="164" fontId="2" fillId="0" borderId="179" xfId="7" applyNumberFormat="1" applyFont="1" applyBorder="1" applyAlignment="1">
      <alignment vertical="center"/>
    </xf>
    <xf numFmtId="164" fontId="2" fillId="0" borderId="75" xfId="7" applyNumberFormat="1" applyFont="1" applyBorder="1" applyAlignment="1">
      <alignment vertical="center"/>
    </xf>
    <xf numFmtId="164" fontId="2" fillId="0" borderId="61" xfId="7" applyNumberFormat="1" applyFont="1" applyBorder="1" applyAlignment="1">
      <alignment vertical="center"/>
    </xf>
    <xf numFmtId="164" fontId="2" fillId="0" borderId="18" xfId="7" applyNumberFormat="1" applyFont="1" applyBorder="1" applyAlignment="1">
      <alignment horizontal="left" vertical="center"/>
    </xf>
    <xf numFmtId="164" fontId="2" fillId="78" borderId="18" xfId="7" applyNumberFormat="1" applyFont="1" applyFill="1" applyBorder="1" applyAlignment="1">
      <alignment vertical="center"/>
    </xf>
    <xf numFmtId="164" fontId="2" fillId="78" borderId="179" xfId="7" applyNumberFormat="1" applyFont="1" applyFill="1" applyBorder="1" applyAlignment="1">
      <alignment vertical="center"/>
    </xf>
    <xf numFmtId="164" fontId="2" fillId="78" borderId="75" xfId="7" applyNumberFormat="1" applyFont="1" applyFill="1" applyBorder="1" applyAlignment="1">
      <alignment vertical="center"/>
    </xf>
    <xf numFmtId="164" fontId="2" fillId="0" borderId="18" xfId="7" applyNumberFormat="1" applyFont="1" applyBorder="1" applyAlignment="1">
      <alignment horizontal="left" vertical="center" wrapText="1"/>
    </xf>
    <xf numFmtId="164" fontId="2" fillId="0" borderId="21" xfId="7" applyNumberFormat="1" applyFont="1" applyBorder="1" applyAlignment="1">
      <alignment horizontal="left" vertical="center" wrapText="1"/>
    </xf>
    <xf numFmtId="164" fontId="2" fillId="0" borderId="22" xfId="7" applyNumberFormat="1" applyFont="1" applyBorder="1" applyAlignment="1">
      <alignment vertical="center"/>
    </xf>
    <xf numFmtId="164" fontId="2" fillId="0" borderId="23" xfId="7" applyNumberFormat="1" applyFont="1" applyBorder="1" applyAlignment="1">
      <alignment vertical="center"/>
    </xf>
    <xf numFmtId="0" fontId="339" fillId="0" borderId="0" xfId="11" applyFont="1"/>
    <xf numFmtId="0" fontId="2" fillId="0" borderId="97" xfId="0" applyFont="1" applyBorder="1" applyAlignment="1">
      <alignment horizontal="center" vertical="center" wrapText="1"/>
    </xf>
    <xf numFmtId="0" fontId="2" fillId="0" borderId="116" xfId="0" applyFont="1" applyBorder="1" applyAlignment="1">
      <alignment horizontal="center" vertical="center" wrapText="1"/>
    </xf>
    <xf numFmtId="0" fontId="2" fillId="0" borderId="0" xfId="0" applyFont="1" applyAlignment="1">
      <alignment horizontal="center" vertical="center" wrapText="1"/>
    </xf>
    <xf numFmtId="0" fontId="2" fillId="0" borderId="69" xfId="0" applyFont="1" applyBorder="1" applyAlignment="1">
      <alignment horizontal="center" vertical="center" wrapText="1"/>
    </xf>
    <xf numFmtId="0" fontId="2" fillId="0" borderId="7" xfId="0" applyFont="1" applyBorder="1" applyAlignment="1">
      <alignment wrapText="1"/>
    </xf>
    <xf numFmtId="0" fontId="2" fillId="0" borderId="113" xfId="0" applyFont="1" applyBorder="1" applyAlignment="1">
      <alignment horizontal="center" vertical="center"/>
    </xf>
    <xf numFmtId="0" fontId="2" fillId="0" borderId="7" xfId="0" applyFont="1" applyBorder="1" applyAlignment="1">
      <alignment horizontal="center" vertical="center" wrapText="1"/>
    </xf>
    <xf numFmtId="0" fontId="2" fillId="0" borderId="75" xfId="0" applyFont="1" applyBorder="1" applyAlignment="1">
      <alignment horizontal="center" vertical="center" wrapText="1"/>
    </xf>
    <xf numFmtId="0" fontId="2" fillId="0" borderId="61" xfId="0" applyFont="1" applyBorder="1"/>
    <xf numFmtId="0" fontId="45" fillId="0" borderId="58" xfId="0" applyFont="1" applyBorder="1"/>
    <xf numFmtId="0" fontId="2" fillId="0" borderId="18" xfId="0" applyFont="1" applyBorder="1" applyAlignment="1">
      <alignment horizontal="left" indent="1"/>
    </xf>
    <xf numFmtId="0" fontId="2" fillId="0" borderId="75" xfId="0" applyFont="1" applyBorder="1" applyAlignment="1">
      <alignment horizontal="left" indent="1"/>
    </xf>
    <xf numFmtId="0" fontId="2" fillId="0" borderId="18" xfId="0" applyFont="1" applyBorder="1" applyAlignment="1">
      <alignment horizontal="left" indent="2"/>
    </xf>
    <xf numFmtId="0" fontId="2" fillId="0" borderId="75" xfId="0" applyFont="1" applyBorder="1" applyAlignment="1">
      <alignment horizontal="left" indent="2"/>
    </xf>
    <xf numFmtId="49" fontId="2" fillId="0" borderId="18" xfId="0" applyNumberFormat="1" applyFont="1" applyBorder="1" applyAlignment="1">
      <alignment horizontal="left" indent="3"/>
    </xf>
    <xf numFmtId="49" fontId="2" fillId="0" borderId="75" xfId="0" applyNumberFormat="1" applyFont="1" applyBorder="1" applyAlignment="1">
      <alignment horizontal="left" indent="3"/>
    </xf>
    <xf numFmtId="49" fontId="2" fillId="0" borderId="18" xfId="0" applyNumberFormat="1" applyFont="1" applyBorder="1" applyAlignment="1">
      <alignment horizontal="left" indent="1"/>
    </xf>
    <xf numFmtId="49" fontId="2" fillId="0" borderId="75" xfId="0" applyNumberFormat="1" applyFont="1" applyBorder="1" applyAlignment="1">
      <alignment horizontal="left" indent="1"/>
    </xf>
    <xf numFmtId="49" fontId="2" fillId="0" borderId="18" xfId="0" applyNumberFormat="1" applyFont="1" applyBorder="1" applyAlignment="1">
      <alignment horizontal="left" wrapText="1" indent="2"/>
    </xf>
    <xf numFmtId="49" fontId="2" fillId="0" borderId="75" xfId="0" applyNumberFormat="1" applyFont="1" applyBorder="1" applyAlignment="1">
      <alignment horizontal="left" vertical="top" wrapText="1" indent="2"/>
    </xf>
    <xf numFmtId="49" fontId="2" fillId="0" borderId="18" xfId="0" applyNumberFormat="1" applyFont="1" applyBorder="1" applyAlignment="1">
      <alignment horizontal="left" wrapText="1" indent="3"/>
    </xf>
    <xf numFmtId="49" fontId="2" fillId="0" borderId="75" xfId="0" applyNumberFormat="1" applyFont="1" applyBorder="1" applyAlignment="1">
      <alignment horizontal="left" wrapText="1" indent="3"/>
    </xf>
    <xf numFmtId="49" fontId="2" fillId="0" borderId="75" xfId="0" applyNumberFormat="1" applyFont="1" applyBorder="1" applyAlignment="1">
      <alignment horizontal="left" wrapText="1" indent="2"/>
    </xf>
    <xf numFmtId="0" fontId="2" fillId="0" borderId="18" xfId="0" applyFont="1" applyBorder="1" applyAlignment="1">
      <alignment horizontal="left" wrapText="1" indent="1"/>
    </xf>
    <xf numFmtId="49" fontId="2" fillId="0" borderId="75" xfId="0" applyNumberFormat="1" applyFont="1" applyBorder="1" applyAlignment="1">
      <alignment horizontal="left" wrapText="1" indent="1"/>
    </xf>
    <xf numFmtId="0" fontId="2" fillId="0" borderId="21" xfId="0" applyFont="1" applyBorder="1" applyAlignment="1">
      <alignment horizontal="left" wrapText="1" indent="1"/>
    </xf>
    <xf numFmtId="49" fontId="2" fillId="0" borderId="23" xfId="0" applyNumberFormat="1" applyFont="1" applyBorder="1" applyAlignment="1">
      <alignment horizontal="left" wrapText="1" indent="1"/>
    </xf>
    <xf numFmtId="0" fontId="2" fillId="0" borderId="117" xfId="0" applyFont="1" applyBorder="1" applyAlignment="1">
      <alignment horizontal="center" vertical="center" wrapText="1"/>
    </xf>
    <xf numFmtId="0" fontId="2" fillId="0" borderId="113"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13" xfId="0" applyFont="1" applyBorder="1" applyAlignment="1">
      <alignment horizontal="center" vertical="center" wrapText="1"/>
    </xf>
    <xf numFmtId="0" fontId="2" fillId="0" borderId="113" xfId="0" applyFont="1" applyBorder="1" applyAlignment="1">
      <alignment horizontal="left" indent="1"/>
    </xf>
    <xf numFmtId="0" fontId="2" fillId="0" borderId="7" xfId="0" applyFont="1" applyBorder="1"/>
    <xf numFmtId="0" fontId="2" fillId="0" borderId="113" xfId="0" applyFont="1" applyBorder="1" applyAlignment="1">
      <alignment horizontal="left" indent="2"/>
    </xf>
    <xf numFmtId="0" fontId="2" fillId="0" borderId="110" xfId="0" applyFont="1" applyBorder="1" applyAlignment="1">
      <alignment vertical="center" wrapText="1" readingOrder="1"/>
    </xf>
    <xf numFmtId="10" fontId="2" fillId="0" borderId="179" xfId="20950" applyNumberFormat="1" applyFont="1" applyBorder="1" applyAlignment="1">
      <alignment vertical="center"/>
    </xf>
    <xf numFmtId="0" fontId="2" fillId="0" borderId="111" xfId="0" applyFont="1" applyBorder="1" applyAlignment="1">
      <alignment vertical="center" wrapText="1" readingOrder="1"/>
    </xf>
    <xf numFmtId="0" fontId="2" fillId="0" borderId="113" xfId="0" applyFont="1" applyBorder="1" applyAlignment="1">
      <alignment horizontal="left" indent="3"/>
    </xf>
    <xf numFmtId="0" fontId="2" fillId="0" borderId="111" xfId="0" applyFont="1" applyBorder="1" applyAlignment="1">
      <alignment horizontal="left" vertical="center" wrapText="1" indent="1" readingOrder="1"/>
    </xf>
    <xf numFmtId="0" fontId="2" fillId="0" borderId="117" xfId="0" applyFont="1" applyBorder="1" applyAlignment="1">
      <alignment horizontal="left" indent="2"/>
    </xf>
    <xf numFmtId="0" fontId="2" fillId="0" borderId="112" xfId="0" applyFont="1" applyBorder="1" applyAlignment="1">
      <alignment vertical="center" wrapText="1" readingOrder="1"/>
    </xf>
    <xf numFmtId="164" fontId="2" fillId="0" borderId="186" xfId="7" applyNumberFormat="1" applyFont="1" applyBorder="1" applyAlignment="1">
      <alignment vertical="center"/>
    </xf>
    <xf numFmtId="10" fontId="2" fillId="0" borderId="186" xfId="20950" applyNumberFormat="1" applyFont="1" applyBorder="1" applyAlignment="1">
      <alignment vertical="center"/>
    </xf>
    <xf numFmtId="0" fontId="45" fillId="0" borderId="113" xfId="0" applyFont="1" applyBorder="1" applyAlignment="1">
      <alignment vertical="center" wrapText="1" readingOrder="1"/>
    </xf>
    <xf numFmtId="164" fontId="45" fillId="0" borderId="179" xfId="7" applyNumberFormat="1" applyFont="1" applyBorder="1" applyAlignment="1">
      <alignment vertical="center"/>
    </xf>
    <xf numFmtId="10" fontId="45" fillId="0" borderId="179" xfId="20950" applyNumberFormat="1" applyFont="1" applyBorder="1" applyAlignment="1">
      <alignment vertical="center"/>
    </xf>
    <xf numFmtId="0" fontId="322" fillId="0" borderId="104" xfId="0" applyFont="1" applyBorder="1" applyAlignment="1">
      <alignment horizontal="center" vertical="center"/>
    </xf>
    <xf numFmtId="0" fontId="113" fillId="0" borderId="192" xfId="0" applyFont="1" applyBorder="1" applyAlignment="1">
      <alignment horizontal="justify" vertical="center" wrapText="1"/>
    </xf>
    <xf numFmtId="0" fontId="112" fillId="0" borderId="192" xfId="0" applyFont="1" applyBorder="1" applyAlignment="1">
      <alignment horizontal="left" vertical="center" wrapText="1" indent="1"/>
    </xf>
    <xf numFmtId="0" fontId="111" fillId="0" borderId="192" xfId="0" applyFont="1" applyBorder="1" applyAlignment="1">
      <alignment horizontal="justify" vertical="center" wrapText="1"/>
    </xf>
    <xf numFmtId="0" fontId="113" fillId="3" borderId="192" xfId="0" applyFont="1" applyFill="1" applyBorder="1" applyAlignment="1">
      <alignment horizontal="justify" vertical="center" wrapText="1"/>
    </xf>
    <xf numFmtId="0" fontId="114" fillId="0" borderId="192" xfId="0" applyFont="1" applyBorder="1" applyAlignment="1">
      <alignment horizontal="left" vertical="center" wrapText="1" indent="1"/>
    </xf>
    <xf numFmtId="0" fontId="113" fillId="0" borderId="192" xfId="0" applyFont="1" applyBorder="1" applyAlignment="1">
      <alignment horizontal="left" vertical="center" wrapText="1"/>
    </xf>
    <xf numFmtId="0" fontId="111" fillId="0" borderId="192" xfId="0" applyFont="1" applyBorder="1" applyAlignment="1">
      <alignment vertical="center" wrapText="1"/>
    </xf>
    <xf numFmtId="0" fontId="112" fillId="0" borderId="192" xfId="0" applyFont="1" applyBorder="1" applyAlignment="1">
      <alignment horizontal="left" vertical="center" wrapText="1"/>
    </xf>
    <xf numFmtId="0" fontId="113" fillId="0" borderId="192" xfId="0" applyFont="1" applyBorder="1" applyAlignment="1">
      <alignment vertical="center" wrapText="1"/>
    </xf>
    <xf numFmtId="0" fontId="113" fillId="3" borderId="192" xfId="0" applyFont="1" applyFill="1" applyBorder="1" applyAlignment="1">
      <alignment vertical="center" wrapText="1"/>
    </xf>
    <xf numFmtId="0" fontId="323" fillId="0" borderId="192" xfId="0" applyFont="1" applyBorder="1" applyAlignment="1">
      <alignment horizontal="center" vertical="center"/>
    </xf>
    <xf numFmtId="0" fontId="109" fillId="3" borderId="192" xfId="20954" applyFont="1" applyFill="1" applyBorder="1" applyAlignment="1">
      <alignment horizontal="left" vertical="center" wrapText="1"/>
    </xf>
    <xf numFmtId="0" fontId="324" fillId="3" borderId="192" xfId="0" applyFont="1" applyFill="1" applyBorder="1" applyAlignment="1">
      <alignment horizontal="left" vertical="center" wrapText="1"/>
    </xf>
    <xf numFmtId="0" fontId="109" fillId="0" borderId="192" xfId="0" applyFont="1" applyBorder="1" applyAlignment="1">
      <alignment horizontal="left" vertical="center" wrapText="1"/>
    </xf>
    <xf numFmtId="0" fontId="324" fillId="0" borderId="192" xfId="0" applyFont="1" applyBorder="1" applyAlignment="1">
      <alignment horizontal="left" vertical="center" wrapText="1"/>
    </xf>
    <xf numFmtId="0" fontId="324" fillId="0" borderId="192" xfId="0" applyFont="1" applyBorder="1" applyAlignment="1">
      <alignment vertical="center" wrapText="1"/>
    </xf>
    <xf numFmtId="0" fontId="324" fillId="0" borderId="192" xfId="20954" applyFont="1" applyBorder="1" applyAlignment="1">
      <alignment horizontal="left" vertical="center" wrapText="1"/>
    </xf>
    <xf numFmtId="0" fontId="324" fillId="3" borderId="192" xfId="20954"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5" xfId="0" applyFont="1" applyBorder="1" applyAlignment="1">
      <alignment vertical="center"/>
    </xf>
    <xf numFmtId="0" fontId="2" fillId="0" borderId="8" xfId="0" applyFont="1" applyBorder="1" applyAlignment="1">
      <alignment vertical="center" wrapText="1"/>
    </xf>
    <xf numFmtId="0" fontId="84" fillId="0" borderId="20" xfId="0" applyFont="1" applyBorder="1" applyAlignment="1">
      <alignment vertical="center"/>
    </xf>
    <xf numFmtId="0" fontId="84" fillId="0" borderId="19" xfId="0" applyFont="1" applyBorder="1" applyAlignment="1">
      <alignment vertical="center"/>
    </xf>
    <xf numFmtId="0" fontId="2" fillId="0" borderId="20" xfId="0" applyFont="1" applyBorder="1" applyAlignment="1">
      <alignment vertical="center"/>
    </xf>
    <xf numFmtId="0" fontId="2" fillId="0" borderId="20" xfId="0" applyFont="1" applyBorder="1" applyAlignment="1">
      <alignment vertical="center" wrapText="1"/>
    </xf>
    <xf numFmtId="165" fontId="84" fillId="0" borderId="20" xfId="20950" applyNumberFormat="1" applyFont="1" applyBorder="1" applyAlignment="1">
      <alignment horizontal="left" vertical="center"/>
    </xf>
    <xf numFmtId="0" fontId="2" fillId="0" borderId="21" xfId="0" applyFont="1" applyBorder="1" applyAlignment="1">
      <alignment vertical="center"/>
    </xf>
    <xf numFmtId="0" fontId="2" fillId="0" borderId="24" xfId="0" applyFont="1" applyBorder="1" applyAlignment="1">
      <alignment vertical="center" wrapText="1"/>
    </xf>
    <xf numFmtId="0" fontId="84" fillId="0" borderId="38" xfId="0" applyFont="1" applyBorder="1" applyAlignment="1">
      <alignment vertical="center"/>
    </xf>
    <xf numFmtId="0" fontId="111" fillId="3" borderId="192" xfId="20954" applyFont="1" applyFill="1" applyBorder="1" applyAlignment="1">
      <alignment horizontal="left" vertical="center" wrapText="1"/>
    </xf>
    <xf numFmtId="0" fontId="112" fillId="0" borderId="192" xfId="20954" applyFont="1" applyBorder="1" applyAlignment="1">
      <alignment horizontal="left" vertical="center" wrapText="1" indent="1"/>
    </xf>
    <xf numFmtId="0" fontId="113" fillId="3" borderId="192" xfId="0" applyFont="1" applyFill="1" applyBorder="1" applyAlignment="1">
      <alignment horizontal="left" vertical="center" wrapText="1"/>
    </xf>
    <xf numFmtId="0" fontId="112" fillId="3" borderId="192" xfId="20954" applyFont="1" applyFill="1" applyBorder="1" applyAlignment="1">
      <alignment horizontal="left" vertical="center" wrapText="1" indent="1"/>
    </xf>
    <xf numFmtId="0" fontId="111" fillId="0" borderId="192" xfId="0" applyFont="1" applyBorder="1" applyAlignment="1">
      <alignment horizontal="left" vertical="center" wrapText="1"/>
    </xf>
    <xf numFmtId="0" fontId="114" fillId="3" borderId="192" xfId="0" applyFont="1" applyFill="1" applyBorder="1" applyAlignment="1">
      <alignment horizontal="left" vertical="center" wrapText="1" indent="1"/>
    </xf>
    <xf numFmtId="0" fontId="114" fillId="0" borderId="192" xfId="20954" applyFont="1" applyBorder="1" applyAlignment="1">
      <alignment horizontal="left" vertical="center" wrapText="1" indent="1"/>
    </xf>
    <xf numFmtId="0" fontId="115" fillId="0" borderId="192" xfId="20954" applyFont="1" applyBorder="1" applyAlignment="1">
      <alignment horizontal="center" vertical="center" wrapText="1"/>
    </xf>
    <xf numFmtId="0" fontId="112" fillId="3" borderId="192" xfId="0" applyFont="1" applyFill="1" applyBorder="1" applyAlignment="1">
      <alignment horizontal="left" vertical="center" wrapText="1" indent="1"/>
    </xf>
    <xf numFmtId="0" fontId="113" fillId="0" borderId="192" xfId="20954" applyFont="1" applyBorder="1" applyAlignment="1">
      <alignment horizontal="left" vertical="center" wrapText="1"/>
    </xf>
    <xf numFmtId="0" fontId="113" fillId="3" borderId="192" xfId="20954" applyFont="1" applyFill="1" applyBorder="1" applyAlignment="1">
      <alignment horizontal="left" vertical="center" wrapText="1"/>
    </xf>
    <xf numFmtId="0" fontId="116" fillId="0" borderId="192" xfId="0" applyFont="1" applyBorder="1" applyAlignment="1">
      <alignment horizontal="justify"/>
    </xf>
    <xf numFmtId="167" fontId="322" fillId="0" borderId="198" xfId="0" applyNumberFormat="1" applyFont="1" applyBorder="1" applyAlignment="1">
      <alignment horizontal="center" vertical="center"/>
    </xf>
    <xf numFmtId="167" fontId="118" fillId="0" borderId="198" xfId="0" applyNumberFormat="1" applyFont="1" applyBorder="1" applyAlignment="1">
      <alignment horizontal="center" vertical="center"/>
    </xf>
    <xf numFmtId="167" fontId="323" fillId="0" borderId="198" xfId="0" applyNumberFormat="1" applyFont="1" applyBorder="1" applyAlignment="1">
      <alignment horizontal="center" vertical="center"/>
    </xf>
    <xf numFmtId="167" fontId="322" fillId="0" borderId="197" xfId="0" applyNumberFormat="1" applyFont="1" applyBorder="1" applyAlignment="1">
      <alignment horizontal="center" vertical="center"/>
    </xf>
    <xf numFmtId="0" fontId="322" fillId="0" borderId="198" xfId="0" applyFont="1" applyBorder="1" applyAlignment="1">
      <alignment vertical="center"/>
    </xf>
    <xf numFmtId="0" fontId="322" fillId="0" borderId="197"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9" fillId="0" borderId="0" xfId="11" applyFont="1"/>
    <xf numFmtId="0" fontId="109" fillId="0" borderId="0" xfId="0" applyFont="1" applyAlignment="1">
      <alignment horizontal="left"/>
    </xf>
    <xf numFmtId="14" fontId="109" fillId="0" borderId="0" xfId="0" applyNumberFormat="1" applyFont="1" applyAlignment="1">
      <alignment horizontal="left"/>
    </xf>
    <xf numFmtId="0" fontId="45" fillId="0" borderId="0" xfId="11"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4" fillId="0" borderId="0" xfId="11" applyFont="1"/>
    <xf numFmtId="43" fontId="45" fillId="0" borderId="0" xfId="7" applyFont="1" applyAlignment="1">
      <alignment horizontal="left"/>
    </xf>
    <xf numFmtId="14" fontId="335" fillId="0" borderId="0" xfId="0" applyNumberFormat="1" applyFont="1" applyAlignment="1">
      <alignment horizontal="left"/>
    </xf>
    <xf numFmtId="0" fontId="45" fillId="0" borderId="0" xfId="7" applyNumberFormat="1" applyFont="1" applyAlignment="1">
      <alignment horizontal="left"/>
    </xf>
    <xf numFmtId="0" fontId="86" fillId="0" borderId="0" xfId="0" applyFont="1" applyAlignment="1">
      <alignment horizontal="left" vertical="top" wrapText="1"/>
    </xf>
    <xf numFmtId="0" fontId="104" fillId="0" borderId="0" xfId="11" applyFont="1" applyAlignment="1">
      <alignment horizontal="left"/>
    </xf>
    <xf numFmtId="164" fontId="333" fillId="0" borderId="113" xfId="7" applyNumberFormat="1" applyFont="1" applyBorder="1"/>
    <xf numFmtId="164" fontId="335" fillId="0" borderId="113" xfId="7" applyNumberFormat="1" applyFont="1" applyBorder="1"/>
    <xf numFmtId="10" fontId="2" fillId="0" borderId="89" xfId="20950" applyNumberFormat="1" applyFont="1" applyFill="1" applyBorder="1" applyAlignment="1" applyProtection="1">
      <alignment horizontal="right" vertical="center"/>
      <protection locked="0"/>
    </xf>
    <xf numFmtId="358" fontId="329" fillId="146" borderId="179" xfId="7" applyNumberFormat="1" applyFont="1" applyFill="1" applyBorder="1" applyProtection="1">
      <protection locked="0"/>
    </xf>
    <xf numFmtId="358" fontId="91" fillId="146" borderId="179" xfId="7" applyNumberFormat="1" applyFont="1" applyFill="1" applyBorder="1" applyProtection="1">
      <protection locked="0"/>
    </xf>
    <xf numFmtId="164" fontId="91" fillId="146" borderId="179" xfId="7" applyNumberFormat="1" applyFont="1" applyFill="1" applyBorder="1" applyAlignment="1" applyProtection="1"/>
    <xf numFmtId="0" fontId="341" fillId="0" borderId="0" xfId="0" applyFont="1"/>
    <xf numFmtId="10" fontId="4" fillId="0" borderId="195" xfId="20950" applyNumberFormat="1" applyFont="1" applyBorder="1" applyAlignment="1">
      <alignment vertical="center"/>
    </xf>
    <xf numFmtId="10" fontId="4" fillId="0" borderId="196" xfId="20950" applyNumberFormat="1" applyFont="1" applyBorder="1" applyAlignment="1">
      <alignment vertical="center"/>
    </xf>
    <xf numFmtId="164" fontId="4" fillId="35" borderId="22" xfId="7" applyNumberFormat="1" applyFont="1" applyFill="1" applyBorder="1"/>
    <xf numFmtId="9" fontId="4" fillId="35" borderId="23" xfId="20950" applyFont="1" applyFill="1" applyBorder="1"/>
    <xf numFmtId="0" fontId="45" fillId="3" borderId="21" xfId="9" applyFont="1" applyFill="1" applyBorder="1" applyAlignment="1" applyProtection="1">
      <alignment horizontal="left" vertical="center"/>
      <protection locked="0"/>
    </xf>
    <xf numFmtId="164" fontId="86" fillId="35" borderId="22" xfId="7" applyNumberFormat="1" applyFont="1" applyFill="1" applyBorder="1"/>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6" fillId="0" borderId="13"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13" xfId="7" applyNumberFormat="1" applyFont="1" applyBorder="1" applyAlignment="1">
      <alignment horizontal="center" vertical="center"/>
    </xf>
    <xf numFmtId="164" fontId="86" fillId="0" borderId="113" xfId="7" applyNumberFormat="1" applyFont="1" applyBorder="1" applyAlignment="1">
      <alignment horizontal="center" vertical="center"/>
    </xf>
    <xf numFmtId="164" fontId="84" fillId="0" borderId="113" xfId="7" applyNumberFormat="1" applyFont="1" applyBorder="1" applyAlignment="1">
      <alignment horizontal="center"/>
    </xf>
    <xf numFmtId="164" fontId="84" fillId="0" borderId="113" xfId="7" applyNumberFormat="1" applyFont="1" applyBorder="1"/>
    <xf numFmtId="0" fontId="342" fillId="0" borderId="113" xfId="0" applyFont="1" applyBorder="1" applyAlignment="1">
      <alignment horizontal="center"/>
    </xf>
    <xf numFmtId="164" fontId="86" fillId="0" borderId="113" xfId="7" applyNumberFormat="1" applyFont="1" applyBorder="1" applyAlignment="1">
      <alignment horizontal="center"/>
    </xf>
    <xf numFmtId="167" fontId="343" fillId="79" borderId="198" xfId="0" applyNumberFormat="1" applyFont="1" applyFill="1" applyBorder="1" applyAlignment="1">
      <alignment horizontal="center" vertical="center"/>
    </xf>
    <xf numFmtId="0" fontId="90" fillId="0" borderId="0" xfId="0" applyFont="1"/>
    <xf numFmtId="0" fontId="86" fillId="0" borderId="113" xfId="0" applyFont="1" applyBorder="1"/>
    <xf numFmtId="0" fontId="323" fillId="0" borderId="198" xfId="0" applyFont="1" applyBorder="1" applyAlignment="1">
      <alignment vertical="center"/>
    </xf>
    <xf numFmtId="164" fontId="86" fillId="0" borderId="11" xfId="7" applyNumberFormat="1" applyFont="1" applyBorder="1" applyAlignment="1">
      <alignment horizontal="center" vertical="center"/>
    </xf>
    <xf numFmtId="0" fontId="342" fillId="0" borderId="104" xfId="0" applyFont="1" applyBorder="1" applyAlignment="1">
      <alignment horizontal="center"/>
    </xf>
    <xf numFmtId="164" fontId="86" fillId="0" borderId="12" xfId="7" applyNumberFormat="1" applyFont="1" applyBorder="1" applyAlignment="1">
      <alignment horizontal="center" vertical="center"/>
    </xf>
    <xf numFmtId="164" fontId="86" fillId="0" borderId="14" xfId="7" applyNumberFormat="1" applyFont="1" applyBorder="1" applyAlignment="1">
      <alignment horizontal="center" vertical="center"/>
    </xf>
    <xf numFmtId="164" fontId="93" fillId="0" borderId="11" xfId="7" applyNumberFormat="1" applyFont="1" applyBorder="1" applyAlignment="1">
      <alignment horizontal="center" vertical="center"/>
    </xf>
    <xf numFmtId="167" fontId="344" fillId="0" borderId="198" xfId="0" applyNumberFormat="1" applyFont="1" applyBorder="1" applyAlignment="1">
      <alignment horizontal="center" vertical="center"/>
    </xf>
    <xf numFmtId="167" fontId="343" fillId="0" borderId="198" xfId="0" applyNumberFormat="1" applyFont="1" applyBorder="1" applyAlignment="1">
      <alignment horizontal="center" vertical="center"/>
    </xf>
    <xf numFmtId="167" fontId="345" fillId="0" borderId="0" xfId="0" applyNumberFormat="1" applyFont="1" applyAlignment="1">
      <alignment horizontal="center"/>
    </xf>
    <xf numFmtId="164" fontId="86" fillId="0" borderId="31" xfId="7" applyNumberFormat="1" applyFont="1" applyBorder="1" applyAlignment="1">
      <alignment horizontal="center" vertical="center"/>
    </xf>
    <xf numFmtId="167" fontId="323" fillId="0" borderId="58" xfId="0" applyNumberFormat="1" applyFont="1" applyBorder="1" applyAlignment="1">
      <alignment horizontal="center" vertical="center"/>
    </xf>
    <xf numFmtId="164" fontId="2" fillId="3" borderId="19" xfId="7" applyNumberFormat="1" applyFont="1" applyFill="1" applyBorder="1" applyAlignment="1" applyProtection="1">
      <alignment vertical="top"/>
      <protection locked="0"/>
    </xf>
    <xf numFmtId="164" fontId="2" fillId="3" borderId="19" xfId="7" applyNumberFormat="1" applyFont="1" applyFill="1" applyBorder="1" applyAlignment="1" applyProtection="1">
      <alignment vertical="top" wrapText="1"/>
      <protection locked="0"/>
    </xf>
    <xf numFmtId="164" fontId="2" fillId="3" borderId="75" xfId="7" applyNumberFormat="1" applyFont="1" applyFill="1" applyBorder="1" applyAlignment="1" applyProtection="1">
      <alignment vertical="top" wrapText="1"/>
      <protection locked="0"/>
    </xf>
    <xf numFmtId="164" fontId="2" fillId="35" borderId="19" xfId="7" applyNumberFormat="1" applyFont="1" applyFill="1" applyBorder="1" applyAlignment="1" applyProtection="1">
      <alignment vertical="top" wrapText="1"/>
      <protection locked="0"/>
    </xf>
    <xf numFmtId="0" fontId="45" fillId="0" borderId="18" xfId="9" applyFont="1" applyBorder="1" applyAlignment="1" applyProtection="1">
      <alignment horizontal="center" vertical="center"/>
      <protection locked="0"/>
    </xf>
    <xf numFmtId="164" fontId="45" fillId="35" borderId="19" xfId="7" applyNumberFormat="1" applyFont="1" applyFill="1" applyBorder="1" applyAlignment="1" applyProtection="1">
      <alignment vertical="top"/>
    </xf>
    <xf numFmtId="164" fontId="45" fillId="35" borderId="19" xfId="7" applyNumberFormat="1" applyFont="1" applyFill="1" applyBorder="1" applyAlignment="1" applyProtection="1">
      <alignment vertical="top" wrapText="1"/>
    </xf>
    <xf numFmtId="0" fontId="86" fillId="0" borderId="0" xfId="0" applyFont="1" applyAlignment="1">
      <alignment wrapText="1"/>
    </xf>
    <xf numFmtId="0" fontId="45" fillId="0" borderId="18" xfId="9" applyFont="1" applyBorder="1" applyAlignment="1" applyProtection="1">
      <alignment horizontal="center" vertical="center" wrapText="1"/>
      <protection locked="0"/>
    </xf>
    <xf numFmtId="164" fontId="45" fillId="35" borderId="23" xfId="7" applyNumberFormat="1" applyFont="1" applyFill="1" applyBorder="1" applyAlignment="1" applyProtection="1">
      <alignment vertical="top" wrapText="1"/>
    </xf>
    <xf numFmtId="164" fontId="84" fillId="0" borderId="19" xfId="7" applyNumberFormat="1" applyFont="1" applyBorder="1" applyAlignment="1">
      <alignment wrapText="1"/>
    </xf>
    <xf numFmtId="164" fontId="84" fillId="35" borderId="19" xfId="7" applyNumberFormat="1" applyFont="1" applyFill="1" applyBorder="1" applyAlignment="1">
      <alignment horizontal="center" vertical="center" wrapText="1"/>
    </xf>
    <xf numFmtId="164" fontId="84" fillId="35" borderId="23" xfId="7" applyNumberFormat="1" applyFont="1" applyFill="1" applyBorder="1" applyAlignment="1">
      <alignment horizontal="center" vertical="center" wrapText="1"/>
    </xf>
    <xf numFmtId="164" fontId="84" fillId="35" borderId="17" xfId="7" applyNumberFormat="1" applyFont="1" applyFill="1" applyBorder="1" applyAlignment="1">
      <alignment horizontal="center" vertical="center"/>
    </xf>
    <xf numFmtId="0" fontId="0" fillId="0" borderId="192" xfId="0" applyBorder="1" applyAlignment="1">
      <alignment horizontal="center"/>
    </xf>
    <xf numFmtId="164" fontId="84" fillId="0" borderId="192" xfId="7" applyNumberFormat="1" applyFont="1" applyFill="1" applyBorder="1" applyAlignment="1">
      <alignment horizontal="center" vertical="center"/>
    </xf>
    <xf numFmtId="0" fontId="84" fillId="0" borderId="192" xfId="0" applyFont="1" applyBorder="1"/>
    <xf numFmtId="191" fontId="86" fillId="35" borderId="192" xfId="0" applyNumberFormat="1" applyFont="1" applyFill="1" applyBorder="1" applyAlignment="1">
      <alignment horizontal="left" vertical="center" wrapText="1"/>
    </xf>
    <xf numFmtId="164" fontId="86" fillId="35" borderId="192" xfId="7" applyNumberFormat="1" applyFont="1" applyFill="1" applyBorder="1" applyAlignment="1">
      <alignment horizontal="center" vertical="center"/>
    </xf>
    <xf numFmtId="164" fontId="103" fillId="35" borderId="90" xfId="7" applyNumberFormat="1" applyFont="1" applyFill="1" applyBorder="1" applyAlignment="1">
      <alignment vertical="center" wrapText="1"/>
    </xf>
    <xf numFmtId="164" fontId="103" fillId="35" borderId="75" xfId="7" applyNumberFormat="1" applyFont="1" applyFill="1" applyBorder="1" applyAlignment="1">
      <alignment vertical="center" wrapText="1"/>
    </xf>
    <xf numFmtId="164" fontId="103" fillId="35" borderId="78" xfId="7" applyNumberFormat="1" applyFont="1" applyFill="1" applyBorder="1" applyAlignment="1">
      <alignment vertical="center" wrapText="1"/>
    </xf>
    <xf numFmtId="164" fontId="103" fillId="0" borderId="90" xfId="7" applyNumberFormat="1" applyFont="1" applyBorder="1" applyAlignment="1">
      <alignment vertical="center" wrapText="1"/>
    </xf>
    <xf numFmtId="164" fontId="103" fillId="0" borderId="78" xfId="7" applyNumberFormat="1" applyFont="1" applyBorder="1" applyAlignment="1">
      <alignment vertical="center" wrapText="1"/>
    </xf>
    <xf numFmtId="164" fontId="103" fillId="35" borderId="24"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38" xfId="7" applyNumberFormat="1" applyFont="1" applyFill="1" applyBorder="1" applyAlignment="1">
      <alignment vertical="center" wrapText="1"/>
    </xf>
    <xf numFmtId="164" fontId="2" fillId="0" borderId="113" xfId="7" applyNumberFormat="1" applyFont="1" applyBorder="1" applyAlignment="1">
      <alignment horizontal="right"/>
    </xf>
    <xf numFmtId="164" fontId="2" fillId="35" borderId="113" xfId="7" applyNumberFormat="1" applyFont="1" applyFill="1" applyBorder="1" applyAlignment="1">
      <alignment horizontal="right"/>
    </xf>
    <xf numFmtId="164" fontId="2" fillId="35" borderId="75" xfId="7" applyNumberFormat="1" applyFont="1" applyFill="1" applyBorder="1" applyAlignment="1">
      <alignment horizontal="right"/>
    </xf>
    <xf numFmtId="164" fontId="94" fillId="0" borderId="179" xfId="7" applyNumberFormat="1" applyFont="1" applyBorder="1" applyAlignment="1">
      <alignment horizontal="right"/>
    </xf>
    <xf numFmtId="164" fontId="94" fillId="35" borderId="179" xfId="7" applyNumberFormat="1" applyFont="1" applyFill="1" applyBorder="1" applyAlignment="1">
      <alignment horizontal="right"/>
    </xf>
    <xf numFmtId="0" fontId="109" fillId="0" borderId="0" xfId="11" applyFont="1" applyAlignment="1">
      <alignment vertical="center"/>
    </xf>
    <xf numFmtId="0" fontId="109" fillId="0" borderId="0" xfId="0" applyFont="1" applyAlignment="1">
      <alignment horizontal="left" vertical="center"/>
    </xf>
    <xf numFmtId="0" fontId="94" fillId="0" borderId="0" xfId="0" applyFont="1" applyAlignment="1">
      <alignment vertical="center"/>
    </xf>
    <xf numFmtId="0" fontId="322" fillId="0" borderId="0" xfId="0" applyFont="1" applyAlignment="1">
      <alignment vertical="center"/>
    </xf>
    <xf numFmtId="14" fontId="109" fillId="0" borderId="0" xfId="0" applyNumberFormat="1" applyFont="1" applyAlignment="1">
      <alignment horizontal="left" vertical="center"/>
    </xf>
    <xf numFmtId="0" fontId="94" fillId="0" borderId="0" xfId="11" applyFont="1" applyAlignment="1">
      <alignment vertical="center"/>
    </xf>
    <xf numFmtId="0" fontId="94" fillId="0" borderId="192" xfId="20954" applyFont="1" applyBorder="1" applyAlignment="1">
      <alignment horizontal="left" vertical="center" wrapText="1"/>
    </xf>
    <xf numFmtId="0" fontId="94" fillId="3" borderId="192" xfId="20954" applyFont="1" applyFill="1" applyBorder="1" applyAlignment="1">
      <alignment horizontal="left" vertical="center" wrapText="1"/>
    </xf>
    <xf numFmtId="0" fontId="325" fillId="0" borderId="192" xfId="0" applyFont="1" applyBorder="1" applyAlignment="1">
      <alignment horizontal="left" vertical="center" wrapText="1"/>
    </xf>
    <xf numFmtId="0" fontId="325" fillId="3" borderId="192" xfId="0" applyFont="1" applyFill="1" applyBorder="1" applyAlignment="1">
      <alignment horizontal="left" vertical="center" wrapText="1"/>
    </xf>
    <xf numFmtId="0" fontId="325" fillId="0" borderId="192" xfId="20954" applyFont="1" applyBorder="1" applyAlignment="1">
      <alignment horizontal="left" vertical="center" wrapText="1"/>
    </xf>
    <xf numFmtId="164" fontId="322" fillId="0" borderId="113" xfId="7" applyNumberFormat="1" applyFont="1" applyBorder="1" applyAlignment="1">
      <alignment vertical="center"/>
    </xf>
    <xf numFmtId="164" fontId="322" fillId="35" borderId="113" xfId="7" applyNumberFormat="1" applyFont="1" applyFill="1" applyBorder="1" applyAlignment="1">
      <alignment vertical="center"/>
    </xf>
    <xf numFmtId="0" fontId="322" fillId="0" borderId="113" xfId="0" applyFont="1" applyBorder="1" applyAlignment="1">
      <alignment horizontal="center" vertical="center"/>
    </xf>
    <xf numFmtId="0" fontId="94" fillId="3" borderId="192" xfId="0" applyFont="1" applyFill="1" applyBorder="1" applyAlignment="1">
      <alignment horizontal="left" vertical="center" wrapText="1"/>
    </xf>
    <xf numFmtId="0" fontId="94" fillId="0" borderId="192" xfId="0" applyFont="1" applyBorder="1" applyAlignment="1">
      <alignment horizontal="left" vertical="center" wrapText="1"/>
    </xf>
    <xf numFmtId="0" fontId="326" fillId="0" borderId="192" xfId="0" applyFont="1" applyBorder="1" applyAlignment="1">
      <alignment horizontal="justify" vertical="center"/>
    </xf>
    <xf numFmtId="0" fontId="322" fillId="0" borderId="0" xfId="0" applyFont="1" applyAlignment="1">
      <alignment horizontal="center" vertical="center"/>
    </xf>
    <xf numFmtId="0" fontId="2" fillId="0" borderId="199" xfId="0" applyFont="1" applyBorder="1" applyAlignment="1">
      <alignment vertical="center"/>
    </xf>
    <xf numFmtId="0" fontId="2" fillId="0" borderId="200" xfId="0" applyFont="1" applyBorder="1" applyAlignment="1">
      <alignment vertical="center" wrapText="1"/>
    </xf>
    <xf numFmtId="165" fontId="84" fillId="0" borderId="197" xfId="20950" applyNumberFormat="1" applyFont="1" applyBorder="1" applyAlignment="1">
      <alignment horizontal="left" vertical="center"/>
    </xf>
    <xf numFmtId="10" fontId="84" fillId="0" borderId="20" xfId="20950" applyNumberFormat="1" applyFont="1" applyBorder="1" applyAlignment="1">
      <alignment horizontal="left" vertical="center"/>
    </xf>
    <xf numFmtId="164" fontId="45" fillId="0" borderId="192" xfId="7" applyNumberFormat="1" applyFont="1" applyBorder="1" applyAlignment="1">
      <alignment horizontal="center" vertical="center"/>
    </xf>
    <xf numFmtId="164" fontId="45" fillId="0" borderId="192" xfId="7" applyNumberFormat="1" applyFont="1" applyBorder="1" applyAlignment="1"/>
    <xf numFmtId="164" fontId="45" fillId="0" borderId="192" xfId="0" applyNumberFormat="1" applyFont="1" applyBorder="1" applyAlignment="1">
      <alignment horizontal="left" vertical="center"/>
    </xf>
    <xf numFmtId="0" fontId="45" fillId="0" borderId="192" xfId="0" applyFont="1" applyBorder="1" applyAlignment="1">
      <alignment horizontal="left" vertical="center" wrapText="1"/>
    </xf>
    <xf numFmtId="0" fontId="2" fillId="0" borderId="192" xfId="0" applyFont="1" applyBorder="1"/>
    <xf numFmtId="164" fontId="2" fillId="0" borderId="192" xfId="7" applyNumberFormat="1" applyFont="1" applyBorder="1" applyAlignment="1">
      <alignment horizontal="center" vertical="center"/>
    </xf>
    <xf numFmtId="164" fontId="2" fillId="0" borderId="192" xfId="7" applyNumberFormat="1" applyFont="1" applyBorder="1" applyAlignment="1"/>
    <xf numFmtId="164" fontId="2" fillId="0" borderId="192" xfId="0" applyNumberFormat="1" applyFont="1" applyBorder="1" applyAlignment="1">
      <alignment horizontal="left" vertical="center"/>
    </xf>
    <xf numFmtId="0" fontId="2" fillId="0" borderId="192" xfId="0" applyFont="1" applyBorder="1" applyAlignment="1">
      <alignment horizontal="left" vertical="center" wrapText="1"/>
    </xf>
    <xf numFmtId="164" fontId="2" fillId="0" borderId="192" xfId="7" applyNumberFormat="1" applyFont="1" applyFill="1" applyBorder="1" applyAlignment="1"/>
    <xf numFmtId="0" fontId="2" fillId="0" borderId="186" xfId="0" applyFont="1" applyBorder="1" applyAlignment="1">
      <alignment horizontal="center" vertical="center" wrapText="1"/>
    </xf>
    <xf numFmtId="0" fontId="45" fillId="0" borderId="183" xfId="0" applyFont="1" applyBorder="1" applyAlignment="1">
      <alignment horizontal="left" vertical="center" wrapText="1"/>
    </xf>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19" xfId="0" applyFont="1" applyBorder="1" applyAlignment="1">
      <alignment horizontal="center" vertical="center"/>
    </xf>
    <xf numFmtId="0" fontId="93" fillId="0" borderId="30" xfId="0" applyFont="1" applyBorder="1" applyAlignment="1">
      <alignment horizontal="center" vertical="center"/>
    </xf>
    <xf numFmtId="0" fontId="93" fillId="0" borderId="120" xfId="0" applyFont="1" applyBorder="1" applyAlignment="1">
      <alignment horizontal="center" vertical="center"/>
    </xf>
    <xf numFmtId="0" fontId="322" fillId="0" borderId="114" xfId="0" applyFont="1" applyBorder="1" applyAlignment="1">
      <alignment horizontal="center" vertical="center"/>
    </xf>
    <xf numFmtId="0" fontId="322" fillId="0" borderId="115" xfId="0" applyFont="1" applyBorder="1" applyAlignment="1">
      <alignment horizontal="center" vertical="center"/>
    </xf>
    <xf numFmtId="0" fontId="322" fillId="0" borderId="116" xfId="0" applyFont="1" applyBorder="1" applyAlignment="1">
      <alignment horizontal="center" vertical="center"/>
    </xf>
    <xf numFmtId="0" fontId="322" fillId="0" borderId="104" xfId="0" applyFont="1" applyBorder="1" applyAlignment="1">
      <alignment horizontal="center" vertical="center"/>
    </xf>
    <xf numFmtId="0" fontId="323" fillId="0" borderId="192" xfId="0" applyFont="1" applyBorder="1" applyAlignment="1">
      <alignment horizontal="center" vertical="center"/>
    </xf>
    <xf numFmtId="0" fontId="109" fillId="0" borderId="16" xfId="0" applyFont="1" applyBorder="1" applyAlignment="1">
      <alignment horizontal="center" vertical="center"/>
    </xf>
    <xf numFmtId="0" fontId="109" fillId="0" borderId="17" xfId="0" applyFont="1" applyBorder="1" applyAlignment="1">
      <alignment horizontal="center" vertical="center"/>
    </xf>
    <xf numFmtId="0" fontId="322" fillId="0" borderId="105" xfId="0" applyFont="1" applyBorder="1" applyAlignment="1">
      <alignment horizontal="center" vertical="center"/>
    </xf>
    <xf numFmtId="0" fontId="322" fillId="0" borderId="106" xfId="0" applyFont="1" applyBorder="1" applyAlignment="1">
      <alignment horizontal="center" vertical="center"/>
    </xf>
    <xf numFmtId="0" fontId="322" fillId="0" borderId="107" xfId="0" applyFont="1"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108" fillId="0" borderId="117" xfId="0" applyFont="1" applyBorder="1" applyAlignment="1">
      <alignment horizontal="center" vertical="center" wrapText="1"/>
    </xf>
    <xf numFmtId="0" fontId="108" fillId="0" borderId="7" xfId="0" applyFont="1" applyBorder="1" applyAlignment="1">
      <alignment horizontal="center" vertical="center" wrapText="1"/>
    </xf>
    <xf numFmtId="0" fontId="84" fillId="0" borderId="113" xfId="0" applyFont="1" applyBorder="1" applyAlignment="1">
      <alignment horizontal="center" vertical="center"/>
    </xf>
    <xf numFmtId="0" fontId="84" fillId="0" borderId="113"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74" xfId="0" applyFont="1" applyBorder="1" applyAlignment="1">
      <alignment horizontal="center" vertical="center" wrapText="1"/>
    </xf>
    <xf numFmtId="0" fontId="84" fillId="0" borderId="74" xfId="0" applyFont="1" applyBorder="1" applyAlignment="1">
      <alignment horizontal="center" vertical="center" wrapText="1"/>
    </xf>
    <xf numFmtId="0" fontId="45" fillId="0" borderId="74" xfId="11" applyFont="1" applyBorder="1" applyAlignment="1">
      <alignment horizontal="center" vertical="center" wrapText="1"/>
    </xf>
    <xf numFmtId="0" fontId="45" fillId="0" borderId="75" xfId="11" applyFont="1" applyBorder="1" applyAlignment="1">
      <alignment horizontal="center" vertical="center" wrapText="1"/>
    </xf>
    <xf numFmtId="0" fontId="45" fillId="0" borderId="64" xfId="11" applyFont="1" applyBorder="1" applyAlignment="1">
      <alignment horizontal="center" vertical="center" wrapText="1"/>
    </xf>
    <xf numFmtId="0" fontId="45" fillId="0" borderId="0" xfId="11"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5" xfId="13" applyFont="1" applyFill="1" applyBorder="1" applyAlignment="1" applyProtection="1">
      <alignment horizontal="center" vertical="center" wrapText="1"/>
      <protection locked="0"/>
    </xf>
    <xf numFmtId="0" fontId="98" fillId="3" borderId="58"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Border="1" applyAlignment="1">
      <alignment horizontal="center" vertical="center" wrapText="1"/>
    </xf>
    <xf numFmtId="0" fontId="3" fillId="0" borderId="58" xfId="0" applyFont="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1" xfId="0" applyFont="1" applyBorder="1" applyAlignment="1">
      <alignment horizontal="center" vertical="center" wrapText="1"/>
    </xf>
    <xf numFmtId="0" fontId="3" fillId="0" borderId="56" xfId="0" applyFont="1" applyBorder="1" applyAlignment="1">
      <alignment horizontal="center" vertical="center" wrapText="1"/>
    </xf>
    <xf numFmtId="0" fontId="84" fillId="0" borderId="16" xfId="0" applyFont="1" applyBorder="1" applyAlignment="1">
      <alignment horizontal="center"/>
    </xf>
    <xf numFmtId="0" fontId="84" fillId="0" borderId="17" xfId="0" applyFont="1" applyBorder="1" applyAlignment="1">
      <alignment horizontal="center" vertical="center" wrapText="1"/>
    </xf>
    <xf numFmtId="0" fontId="84" fillId="0" borderId="75" xfId="0" applyFont="1" applyBorder="1" applyAlignment="1">
      <alignment horizontal="center" vertical="center" wrapText="1"/>
    </xf>
    <xf numFmtId="0" fontId="104" fillId="0" borderId="94" xfId="0" applyFont="1" applyBorder="1" applyAlignment="1">
      <alignment horizontal="left" vertical="center" wrapText="1"/>
    </xf>
    <xf numFmtId="0" fontId="104" fillId="0" borderId="95" xfId="0" applyFont="1" applyBorder="1" applyAlignment="1">
      <alignment horizontal="left" vertical="center" wrapText="1"/>
    </xf>
    <xf numFmtId="0" fontId="104" fillId="0" borderId="99" xfId="0" applyFont="1" applyBorder="1" applyAlignment="1">
      <alignment horizontal="left" vertical="center" wrapText="1"/>
    </xf>
    <xf numFmtId="0" fontId="104" fillId="0" borderId="100" xfId="0" applyFont="1" applyBorder="1" applyAlignment="1">
      <alignment horizontal="left" vertical="center" wrapText="1"/>
    </xf>
    <xf numFmtId="0" fontId="104" fillId="0" borderId="102" xfId="0" applyFont="1" applyBorder="1" applyAlignment="1">
      <alignment horizontal="left" vertical="center" wrapText="1"/>
    </xf>
    <xf numFmtId="0" fontId="104" fillId="0" borderId="103" xfId="0" applyFont="1" applyBorder="1" applyAlignment="1">
      <alignment horizontal="left" vertical="center" wrapText="1"/>
    </xf>
    <xf numFmtId="0" fontId="335" fillId="0" borderId="96" xfId="0" applyFont="1" applyBorder="1" applyAlignment="1">
      <alignment horizontal="center" vertical="center" wrapText="1"/>
    </xf>
    <xf numFmtId="0" fontId="335" fillId="0" borderId="97" xfId="0" applyFont="1" applyBorder="1" applyAlignment="1">
      <alignment horizontal="center" vertical="center" wrapText="1"/>
    </xf>
    <xf numFmtId="0" fontId="335" fillId="0" borderId="98" xfId="0" applyFont="1" applyBorder="1" applyAlignment="1">
      <alignment horizontal="center" vertical="center" wrapText="1"/>
    </xf>
    <xf numFmtId="0" fontId="335" fillId="0" borderId="79" xfId="0" applyFont="1" applyBorder="1" applyAlignment="1">
      <alignment horizontal="center" vertical="center" wrapText="1"/>
    </xf>
    <xf numFmtId="0" fontId="335" fillId="0" borderId="101" xfId="0" applyFont="1" applyBorder="1" applyAlignment="1">
      <alignment horizontal="center" vertical="center" wrapText="1"/>
    </xf>
    <xf numFmtId="0" fontId="335" fillId="0" borderId="69" xfId="0" applyFont="1" applyBorder="1" applyAlignment="1">
      <alignment horizontal="center" vertical="center" wrapText="1"/>
    </xf>
    <xf numFmtId="0" fontId="105" fillId="0" borderId="117" xfId="0" applyFont="1" applyBorder="1" applyAlignment="1">
      <alignment horizontal="center" vertical="center" wrapText="1"/>
    </xf>
    <xf numFmtId="0" fontId="105" fillId="0" borderId="7" xfId="0" applyFont="1" applyBorder="1" applyAlignment="1">
      <alignment horizontal="center" vertical="center" wrapText="1"/>
    </xf>
    <xf numFmtId="0" fontId="105" fillId="0" borderId="113" xfId="0" applyFont="1" applyBorder="1" applyAlignment="1">
      <alignment horizontal="center" vertical="center" wrapText="1"/>
    </xf>
    <xf numFmtId="0" fontId="337" fillId="0" borderId="113" xfId="0" applyFont="1" applyBorder="1" applyAlignment="1">
      <alignment horizontal="center" vertical="center"/>
    </xf>
    <xf numFmtId="0" fontId="337" fillId="0" borderId="96" xfId="0" applyFont="1" applyBorder="1" applyAlignment="1">
      <alignment horizontal="center" vertical="center"/>
    </xf>
    <xf numFmtId="0" fontId="337" fillId="0" borderId="98" xfId="0" applyFont="1" applyBorder="1" applyAlignment="1">
      <alignment horizontal="center" vertical="center"/>
    </xf>
    <xf numFmtId="0" fontId="337" fillId="0" borderId="79" xfId="0" applyFont="1" applyBorder="1" applyAlignment="1">
      <alignment horizontal="center" vertical="center"/>
    </xf>
    <xf numFmtId="0" fontId="337" fillId="0" borderId="69" xfId="0" applyFont="1" applyBorder="1" applyAlignment="1">
      <alignment horizontal="center" vertical="center"/>
    </xf>
    <xf numFmtId="0" fontId="335" fillId="0" borderId="113" xfId="0" applyFont="1" applyBorder="1" applyAlignment="1">
      <alignment horizontal="center" vertical="center" wrapText="1"/>
    </xf>
    <xf numFmtId="0" fontId="105" fillId="0" borderId="116" xfId="0" applyFont="1" applyBorder="1" applyAlignment="1">
      <alignment horizontal="center" vertical="center" wrapText="1"/>
    </xf>
    <xf numFmtId="0" fontId="104" fillId="0" borderId="96" xfId="0" applyFont="1" applyBorder="1" applyAlignment="1">
      <alignment horizontal="center" vertical="center" wrapText="1"/>
    </xf>
    <xf numFmtId="0" fontId="104" fillId="0" borderId="98" xfId="0" applyFont="1" applyBorder="1" applyAlignment="1">
      <alignment horizontal="center" vertical="center" wrapText="1"/>
    </xf>
    <xf numFmtId="0" fontId="104" fillId="0" borderId="64" xfId="0" applyFont="1" applyBorder="1" applyAlignment="1">
      <alignment horizontal="center" vertical="center" wrapText="1"/>
    </xf>
    <xf numFmtId="0" fontId="104" fillId="0" borderId="62" xfId="0" applyFont="1" applyBorder="1" applyAlignment="1">
      <alignment horizontal="center" vertical="center" wrapText="1"/>
    </xf>
    <xf numFmtId="0" fontId="104" fillId="0" borderId="79" xfId="0" applyFont="1" applyBorder="1" applyAlignment="1">
      <alignment horizontal="center" vertical="center" wrapText="1"/>
    </xf>
    <xf numFmtId="0" fontId="104" fillId="0" borderId="69" xfId="0" applyFont="1" applyBorder="1" applyAlignment="1">
      <alignment horizontal="center" vertical="center" wrapText="1"/>
    </xf>
    <xf numFmtId="0" fontId="105" fillId="0" borderId="114" xfId="0" applyFont="1" applyBorder="1" applyAlignment="1">
      <alignment horizontal="center" vertical="center" wrapText="1"/>
    </xf>
    <xf numFmtId="0" fontId="105" fillId="0" borderId="115" xfId="0" applyFont="1" applyBorder="1" applyAlignment="1">
      <alignment horizontal="center" vertical="center" wrapText="1"/>
    </xf>
    <xf numFmtId="0" fontId="104" fillId="0" borderId="70" xfId="0" applyFont="1" applyBorder="1" applyAlignment="1">
      <alignment horizontal="center" vertical="center" wrapText="1"/>
    </xf>
    <xf numFmtId="0" fontId="104" fillId="0" borderId="7" xfId="0" applyFont="1" applyBorder="1" applyAlignment="1">
      <alignment horizontal="center" vertical="center" wrapText="1"/>
    </xf>
    <xf numFmtId="0" fontId="105" fillId="0" borderId="70" xfId="0" applyFont="1" applyBorder="1" applyAlignment="1">
      <alignment horizontal="center" vertical="center" wrapText="1"/>
    </xf>
    <xf numFmtId="0" fontId="105" fillId="0" borderId="69" xfId="0" applyFont="1" applyBorder="1" applyAlignment="1">
      <alignment horizontal="center" vertical="center" wrapText="1"/>
    </xf>
    <xf numFmtId="0" fontId="2" fillId="0" borderId="116" xfId="0" applyFont="1" applyBorder="1" applyAlignment="1">
      <alignment horizontal="center" vertical="center" wrapText="1"/>
    </xf>
    <xf numFmtId="0" fontId="2" fillId="0" borderId="113" xfId="0" applyFont="1" applyBorder="1" applyAlignment="1">
      <alignment horizontal="center" vertical="center" wrapText="1"/>
    </xf>
    <xf numFmtId="0" fontId="45" fillId="0" borderId="54" xfId="0" applyFont="1" applyBorder="1" applyAlignment="1">
      <alignment horizontal="left" vertical="top" wrapText="1"/>
    </xf>
    <xf numFmtId="0" fontId="45" fillId="0" borderId="71" xfId="0" applyFont="1" applyBorder="1" applyAlignment="1">
      <alignment horizontal="left" vertical="top" wrapText="1"/>
    </xf>
    <xf numFmtId="0" fontId="45" fillId="0" borderId="57" xfId="0" applyFont="1" applyBorder="1" applyAlignment="1">
      <alignment horizontal="left" vertical="top" wrapText="1"/>
    </xf>
    <xf numFmtId="0" fontId="45" fillId="0" borderId="86" xfId="0" applyFont="1" applyBorder="1" applyAlignment="1">
      <alignment horizontal="left" vertical="top" wrapText="1"/>
    </xf>
    <xf numFmtId="0" fontId="45" fillId="0" borderId="93" xfId="0" applyFont="1" applyBorder="1" applyAlignment="1">
      <alignment horizontal="left" vertical="top" wrapText="1"/>
    </xf>
    <xf numFmtId="0" fontId="45" fillId="0" borderId="118" xfId="0" applyFont="1" applyBorder="1" applyAlignment="1">
      <alignment horizontal="left" vertical="top" wrapText="1"/>
    </xf>
    <xf numFmtId="0" fontId="2" fillId="0" borderId="70" xfId="0" applyFont="1" applyBorder="1" applyAlignment="1">
      <alignment horizontal="center" vertical="center" wrapText="1"/>
    </xf>
    <xf numFmtId="0" fontId="45" fillId="0" borderId="80" xfId="0" applyFont="1" applyBorder="1" applyAlignment="1">
      <alignment horizontal="center" vertical="center" wrapText="1"/>
    </xf>
    <xf numFmtId="0" fontId="45" fillId="0" borderId="61"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45" fillId="0" borderId="94" xfId="0" applyFont="1" applyBorder="1" applyAlignment="1">
      <alignment horizontal="left" vertical="center" wrapText="1"/>
    </xf>
    <xf numFmtId="0" fontId="45" fillId="0" borderId="95" xfId="0" applyFont="1" applyBorder="1" applyAlignment="1">
      <alignment horizontal="left" vertical="center" wrapText="1"/>
    </xf>
    <xf numFmtId="0" fontId="45" fillId="0" borderId="102" xfId="0" applyFont="1" applyBorder="1" applyAlignment="1">
      <alignment horizontal="left" vertical="center" wrapText="1"/>
    </xf>
    <xf numFmtId="0" fontId="45" fillId="0" borderId="103" xfId="0" applyFont="1" applyBorder="1" applyAlignment="1">
      <alignment horizontal="left" vertical="center" wrapText="1"/>
    </xf>
    <xf numFmtId="0" fontId="2" fillId="0" borderId="176" xfId="0" applyFont="1" applyBorder="1" applyAlignment="1">
      <alignment horizontal="center" vertical="top" wrapText="1"/>
    </xf>
    <xf numFmtId="0" fontId="2" fillId="0" borderId="177" xfId="0" applyFont="1" applyBorder="1" applyAlignment="1">
      <alignment horizontal="center" vertical="top" wrapText="1"/>
    </xf>
    <xf numFmtId="0" fontId="2" fillId="0" borderId="181" xfId="0" applyFont="1" applyBorder="1" applyAlignment="1">
      <alignment horizontal="center" vertical="top" wrapText="1"/>
    </xf>
    <xf numFmtId="0" fontId="2" fillId="0" borderId="180" xfId="0" applyFont="1" applyBorder="1" applyAlignment="1">
      <alignment horizontal="center" vertical="top" wrapText="1"/>
    </xf>
    <xf numFmtId="0" fontId="45" fillId="0" borderId="108" xfId="0" applyFont="1" applyBorder="1" applyAlignment="1">
      <alignment horizontal="left" vertical="top" wrapText="1"/>
    </xf>
    <xf numFmtId="0" fontId="45" fillId="0" borderId="109" xfId="0" applyFont="1" applyBorder="1" applyAlignment="1">
      <alignment horizontal="left" vertical="top" wrapText="1"/>
    </xf>
    <xf numFmtId="0" fontId="45" fillId="0" borderId="96" xfId="0" applyFont="1" applyBorder="1" applyAlignment="1">
      <alignment horizontal="center" vertical="center"/>
    </xf>
    <xf numFmtId="0" fontId="45" fillId="0" borderId="98" xfId="0" applyFont="1" applyBorder="1" applyAlignment="1">
      <alignment horizontal="center" vertical="center"/>
    </xf>
    <xf numFmtId="0" fontId="45" fillId="0" borderId="79" xfId="0" applyFont="1" applyBorder="1" applyAlignment="1">
      <alignment horizontal="center" vertical="center"/>
    </xf>
    <xf numFmtId="0" fontId="45" fillId="0" borderId="69" xfId="0" applyFont="1" applyBorder="1" applyAlignment="1">
      <alignment horizontal="center" vertical="center"/>
    </xf>
    <xf numFmtId="0" fontId="2" fillId="0" borderId="117"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Bregadze\Documents\Crystal\1.%20Reporting\External\1.%20NBG\2025\Quarterly\Q3\PG1%20&amp;%20PE1\PG1_I-CRY-QQ-20250930.xlsx" TargetMode="External"/><Relationship Id="rId1" Type="http://schemas.openxmlformats.org/officeDocument/2006/relationships/externalLinkPath" Target="PG1_I-CRY-QQ-202509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8">
          <cell r="D8">
            <v>508496993.95171702</v>
          </cell>
          <cell r="E8">
            <v>2103621.3776982422</v>
          </cell>
          <cell r="F8">
            <v>0</v>
          </cell>
          <cell r="G8">
            <v>0</v>
          </cell>
          <cell r="H8">
            <v>30463618.418604821</v>
          </cell>
          <cell r="I8">
            <v>5228394.5212216228</v>
          </cell>
          <cell r="J8">
            <v>4185523.2705021249</v>
          </cell>
          <cell r="K8">
            <v>0</v>
          </cell>
          <cell r="L8">
            <v>19748751.465093754</v>
          </cell>
          <cell r="M8">
            <v>2125338.9381396738</v>
          </cell>
          <cell r="N8">
            <v>1814030.4637108734</v>
          </cell>
          <cell r="O8">
            <v>7539800.2187555013</v>
          </cell>
        </row>
      </sheetData>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6"/>
  <sheetViews>
    <sheetView tabSelected="1" zoomScale="70" zoomScaleNormal="80" workbookViewId="0">
      <pane xSplit="1" ySplit="7" topLeftCell="B8" activePane="bottomRight" state="frozen"/>
      <selection pane="topRight" activeCell="B1" sqref="B1"/>
      <selection pane="bottomLeft" activeCell="A8" sqref="A8"/>
      <selection pane="bottomRight" activeCell="B8" sqref="B8"/>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86"/>
      <c r="B1" s="91" t="s">
        <v>187</v>
      </c>
      <c r="C1" s="86"/>
    </row>
    <row r="2" spans="1:3">
      <c r="A2" s="92">
        <v>1</v>
      </c>
      <c r="B2" s="185" t="s">
        <v>681</v>
      </c>
      <c r="C2" s="40" t="s">
        <v>698</v>
      </c>
    </row>
    <row r="3" spans="1:3">
      <c r="A3" s="92">
        <v>2</v>
      </c>
      <c r="B3" s="186" t="s">
        <v>185</v>
      </c>
      <c r="C3" s="40" t="s">
        <v>699</v>
      </c>
    </row>
    <row r="4" spans="1:3">
      <c r="A4" s="92">
        <v>3</v>
      </c>
      <c r="B4" s="187" t="s">
        <v>682</v>
      </c>
      <c r="C4" s="40" t="s">
        <v>700</v>
      </c>
    </row>
    <row r="5" spans="1:3">
      <c r="A5" s="93">
        <v>4</v>
      </c>
      <c r="B5" s="188" t="s">
        <v>672</v>
      </c>
      <c r="C5" s="374" t="s">
        <v>701</v>
      </c>
    </row>
    <row r="6" spans="1:3" s="94" customFormat="1" ht="45.75" customHeight="1">
      <c r="A6" s="681" t="s">
        <v>673</v>
      </c>
      <c r="B6" s="682"/>
      <c r="C6" s="682"/>
    </row>
    <row r="7" spans="1:3">
      <c r="A7" s="95" t="s">
        <v>30</v>
      </c>
      <c r="B7" s="91" t="s">
        <v>186</v>
      </c>
    </row>
    <row r="8" spans="1:3">
      <c r="A8" s="86">
        <v>1</v>
      </c>
      <c r="B8" s="119" t="s">
        <v>21</v>
      </c>
    </row>
    <row r="9" spans="1:3">
      <c r="A9" s="86">
        <v>2</v>
      </c>
      <c r="B9" s="120" t="s">
        <v>22</v>
      </c>
    </row>
    <row r="10" spans="1:3">
      <c r="A10" s="86">
        <v>3</v>
      </c>
      <c r="B10" s="120" t="s">
        <v>23</v>
      </c>
    </row>
    <row r="11" spans="1:3">
      <c r="A11" s="86">
        <v>4</v>
      </c>
      <c r="B11" s="120" t="s">
        <v>24</v>
      </c>
    </row>
    <row r="12" spans="1:3">
      <c r="A12" s="86">
        <v>5</v>
      </c>
      <c r="B12" s="120" t="s">
        <v>25</v>
      </c>
    </row>
    <row r="13" spans="1:3">
      <c r="A13" s="86">
        <v>6</v>
      </c>
      <c r="B13" s="121" t="s">
        <v>194</v>
      </c>
    </row>
    <row r="14" spans="1:3">
      <c r="A14" s="86">
        <v>7</v>
      </c>
      <c r="B14" s="120" t="s">
        <v>188</v>
      </c>
    </row>
    <row r="15" spans="1:3">
      <c r="A15" s="86">
        <v>8</v>
      </c>
      <c r="B15" s="120" t="s">
        <v>189</v>
      </c>
    </row>
    <row r="16" spans="1:3">
      <c r="A16" s="86">
        <v>9</v>
      </c>
      <c r="B16" s="120" t="s">
        <v>26</v>
      </c>
    </row>
    <row r="17" spans="1:2">
      <c r="A17" s="184" t="s">
        <v>254</v>
      </c>
      <c r="B17" s="183" t="s">
        <v>242</v>
      </c>
    </row>
    <row r="18" spans="1:2">
      <c r="A18" s="86">
        <v>10</v>
      </c>
      <c r="B18" s="120" t="s">
        <v>27</v>
      </c>
    </row>
    <row r="19" spans="1:2">
      <c r="A19" s="86">
        <v>11</v>
      </c>
      <c r="B19" s="121" t="s">
        <v>190</v>
      </c>
    </row>
    <row r="20" spans="1:2">
      <c r="A20" s="86">
        <v>12</v>
      </c>
      <c r="B20" s="121" t="s">
        <v>28</v>
      </c>
    </row>
    <row r="21" spans="1:2">
      <c r="A21" s="204">
        <v>13</v>
      </c>
      <c r="B21" s="205" t="s">
        <v>191</v>
      </c>
    </row>
    <row r="22" spans="1:2">
      <c r="A22" s="204">
        <v>14</v>
      </c>
      <c r="B22" s="206" t="s">
        <v>216</v>
      </c>
    </row>
    <row r="23" spans="1:2">
      <c r="A23" s="204">
        <v>15</v>
      </c>
      <c r="B23" s="207" t="s">
        <v>29</v>
      </c>
    </row>
    <row r="24" spans="1:2">
      <c r="A24" s="204">
        <v>15.1</v>
      </c>
      <c r="B24" s="208" t="s">
        <v>265</v>
      </c>
    </row>
    <row r="25" spans="1:2">
      <c r="A25" s="252">
        <v>15.2</v>
      </c>
      <c r="B25" s="251" t="s">
        <v>640</v>
      </c>
    </row>
    <row r="26" spans="1:2">
      <c r="A26" s="204">
        <v>16</v>
      </c>
      <c r="B26" s="208" t="s">
        <v>306</v>
      </c>
    </row>
    <row r="27" spans="1:2">
      <c r="A27" s="204">
        <v>17</v>
      </c>
      <c r="B27" s="208" t="s">
        <v>347</v>
      </c>
    </row>
    <row r="28" spans="1:2">
      <c r="A28" s="204">
        <v>18</v>
      </c>
      <c r="B28" s="208" t="s">
        <v>629</v>
      </c>
    </row>
    <row r="29" spans="1:2">
      <c r="A29" s="204">
        <v>19</v>
      </c>
      <c r="B29" s="208" t="s">
        <v>630</v>
      </c>
    </row>
    <row r="30" spans="1:2">
      <c r="A30" s="204">
        <v>20</v>
      </c>
      <c r="B30" s="225" t="s">
        <v>631</v>
      </c>
    </row>
    <row r="31" spans="1:2">
      <c r="A31" s="204">
        <v>21</v>
      </c>
      <c r="B31" s="208" t="s">
        <v>461</v>
      </c>
    </row>
    <row r="32" spans="1:2">
      <c r="A32" s="204">
        <v>22</v>
      </c>
      <c r="B32" s="208" t="s">
        <v>632</v>
      </c>
    </row>
    <row r="33" spans="1:2">
      <c r="A33" s="204">
        <v>23</v>
      </c>
      <c r="B33" s="208" t="s">
        <v>633</v>
      </c>
    </row>
    <row r="34" spans="1:2">
      <c r="A34" s="204">
        <v>24</v>
      </c>
      <c r="B34" s="208" t="s">
        <v>634</v>
      </c>
    </row>
    <row r="35" spans="1:2">
      <c r="A35" s="204">
        <v>25</v>
      </c>
      <c r="B35" s="208" t="s">
        <v>348</v>
      </c>
    </row>
    <row r="36" spans="1:2">
      <c r="A36" s="204">
        <v>26</v>
      </c>
      <c r="B36" s="208" t="s">
        <v>483</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21875" defaultRowHeight="13.2"/>
  <cols>
    <col min="1" max="1" width="11.44140625" style="4" customWidth="1"/>
    <col min="2" max="2" width="132.44140625" style="4" customWidth="1"/>
    <col min="3" max="3" width="18.44140625" style="4" customWidth="1"/>
    <col min="4" max="16384" width="9.21875" style="4"/>
  </cols>
  <sheetData>
    <row r="1" spans="1:3">
      <c r="A1" s="560" t="s">
        <v>680</v>
      </c>
      <c r="B1" s="552" t="str">
        <f>'Info '!C2</f>
        <v>Crystal</v>
      </c>
    </row>
    <row r="2" spans="1:3" s="2" customFormat="1" ht="15.75" customHeight="1">
      <c r="A2" s="64" t="s">
        <v>31</v>
      </c>
      <c r="B2" s="553">
        <f>'1. key ratios '!B2</f>
        <v>45930</v>
      </c>
    </row>
    <row r="3" spans="1:3" s="2" customFormat="1" ht="15.75" customHeight="1"/>
    <row r="4" spans="1:3" ht="13.8" thickBot="1">
      <c r="A4" s="4" t="s">
        <v>129</v>
      </c>
      <c r="B4" s="74" t="s">
        <v>128</v>
      </c>
    </row>
    <row r="5" spans="1:3">
      <c r="A5" s="45" t="s">
        <v>7</v>
      </c>
      <c r="B5" s="46"/>
      <c r="C5" s="47" t="s">
        <v>35</v>
      </c>
    </row>
    <row r="6" spans="1:3" s="563" customFormat="1">
      <c r="A6" s="619">
        <v>1</v>
      </c>
      <c r="B6" s="49" t="s">
        <v>127</v>
      </c>
      <c r="C6" s="620">
        <f>SUM(C7:C11)</f>
        <v>105453982.37656534</v>
      </c>
    </row>
    <row r="7" spans="1:3">
      <c r="A7" s="48">
        <v>2</v>
      </c>
      <c r="B7" s="50" t="s">
        <v>126</v>
      </c>
      <c r="C7" s="615">
        <v>3634576</v>
      </c>
    </row>
    <row r="8" spans="1:3">
      <c r="A8" s="48">
        <v>3</v>
      </c>
      <c r="B8" s="51" t="s">
        <v>125</v>
      </c>
      <c r="C8" s="615">
        <v>22109970.23</v>
      </c>
    </row>
    <row r="9" spans="1:3">
      <c r="A9" s="48">
        <v>4</v>
      </c>
      <c r="B9" s="51" t="s">
        <v>124</v>
      </c>
      <c r="C9" s="615">
        <v>0</v>
      </c>
    </row>
    <row r="10" spans="1:3">
      <c r="A10" s="48">
        <v>5</v>
      </c>
      <c r="B10" s="51" t="s">
        <v>123</v>
      </c>
      <c r="C10" s="615">
        <v>0</v>
      </c>
    </row>
    <row r="11" spans="1:3">
      <c r="A11" s="48">
        <v>6</v>
      </c>
      <c r="B11" s="52" t="s">
        <v>122</v>
      </c>
      <c r="C11" s="615">
        <v>79709436.146565333</v>
      </c>
    </row>
    <row r="12" spans="1:3" s="622" customFormat="1">
      <c r="A12" s="619">
        <v>7</v>
      </c>
      <c r="B12" s="49" t="s">
        <v>121</v>
      </c>
      <c r="C12" s="621">
        <f>SUM(C13:C28)</f>
        <v>5202301.5999999996</v>
      </c>
    </row>
    <row r="13" spans="1:3" s="32" customFormat="1">
      <c r="A13" s="48">
        <v>8</v>
      </c>
      <c r="B13" s="53" t="s">
        <v>120</v>
      </c>
      <c r="C13" s="616">
        <v>0</v>
      </c>
    </row>
    <row r="14" spans="1:3" s="32" customFormat="1" ht="26.4">
      <c r="A14" s="48">
        <v>9</v>
      </c>
      <c r="B14" s="54" t="s">
        <v>119</v>
      </c>
      <c r="C14" s="616">
        <v>0</v>
      </c>
    </row>
    <row r="15" spans="1:3" s="32" customFormat="1">
      <c r="A15" s="48">
        <v>10</v>
      </c>
      <c r="B15" s="55" t="s">
        <v>118</v>
      </c>
      <c r="C15" s="616">
        <v>4592510.5999999996</v>
      </c>
    </row>
    <row r="16" spans="1:3" s="32" customFormat="1">
      <c r="A16" s="48">
        <v>11</v>
      </c>
      <c r="B16" s="56" t="s">
        <v>117</v>
      </c>
      <c r="C16" s="616">
        <v>0</v>
      </c>
    </row>
    <row r="17" spans="1:3" s="32" customFormat="1">
      <c r="A17" s="48">
        <v>12</v>
      </c>
      <c r="B17" s="55" t="s">
        <v>116</v>
      </c>
      <c r="C17" s="616">
        <v>0</v>
      </c>
    </row>
    <row r="18" spans="1:3" s="32" customFormat="1">
      <c r="A18" s="48">
        <v>13</v>
      </c>
      <c r="B18" s="55" t="s">
        <v>683</v>
      </c>
      <c r="C18" s="616">
        <v>0</v>
      </c>
    </row>
    <row r="19" spans="1:3" s="32" customFormat="1">
      <c r="A19" s="48">
        <v>14</v>
      </c>
      <c r="B19" s="55" t="s">
        <v>115</v>
      </c>
      <c r="C19" s="616">
        <v>0</v>
      </c>
    </row>
    <row r="20" spans="1:3" s="32" customFormat="1">
      <c r="A20" s="48">
        <v>15</v>
      </c>
      <c r="B20" s="55" t="s">
        <v>114</v>
      </c>
      <c r="C20" s="616">
        <v>0</v>
      </c>
    </row>
    <row r="21" spans="1:3" s="32" customFormat="1" ht="26.4">
      <c r="A21" s="48">
        <v>16</v>
      </c>
      <c r="B21" s="54" t="s">
        <v>684</v>
      </c>
      <c r="C21" s="616">
        <v>0</v>
      </c>
    </row>
    <row r="22" spans="1:3" s="32" customFormat="1">
      <c r="A22" s="48">
        <v>17</v>
      </c>
      <c r="B22" s="57" t="s">
        <v>113</v>
      </c>
      <c r="C22" s="616">
        <v>609791</v>
      </c>
    </row>
    <row r="23" spans="1:3" s="32" customFormat="1">
      <c r="A23" s="48">
        <v>18</v>
      </c>
      <c r="B23" s="57" t="s">
        <v>484</v>
      </c>
      <c r="C23" s="617">
        <v>0</v>
      </c>
    </row>
    <row r="24" spans="1:3" s="32" customFormat="1">
      <c r="A24" s="48"/>
      <c r="B24" s="54"/>
      <c r="C24" s="616"/>
    </row>
    <row r="25" spans="1:3" s="32" customFormat="1">
      <c r="A25" s="48"/>
      <c r="B25" s="54"/>
      <c r="C25" s="616"/>
    </row>
    <row r="26" spans="1:3" s="32" customFormat="1">
      <c r="A26" s="48">
        <v>21</v>
      </c>
      <c r="B26" s="56" t="s">
        <v>112</v>
      </c>
      <c r="C26" s="616">
        <v>0</v>
      </c>
    </row>
    <row r="27" spans="1:3" s="32" customFormat="1">
      <c r="A27" s="48"/>
      <c r="B27" s="56"/>
      <c r="C27" s="616"/>
    </row>
    <row r="28" spans="1:3" s="32" customFormat="1">
      <c r="A28" s="48">
        <v>23</v>
      </c>
      <c r="B28" s="56" t="s">
        <v>111</v>
      </c>
      <c r="C28" s="616">
        <v>0</v>
      </c>
    </row>
    <row r="29" spans="1:3" s="622" customFormat="1">
      <c r="A29" s="619">
        <v>24</v>
      </c>
      <c r="B29" s="58" t="s">
        <v>110</v>
      </c>
      <c r="C29" s="621">
        <f>C6-C12</f>
        <v>100251680.77656534</v>
      </c>
    </row>
    <row r="30" spans="1:3" s="32" customFormat="1">
      <c r="A30" s="59"/>
      <c r="B30" s="60"/>
      <c r="C30" s="616"/>
    </row>
    <row r="31" spans="1:3" s="622" customFormat="1">
      <c r="A31" s="623">
        <v>25</v>
      </c>
      <c r="B31" s="58" t="s">
        <v>109</v>
      </c>
      <c r="C31" s="621">
        <f>C32+C35</f>
        <v>0</v>
      </c>
    </row>
    <row r="32" spans="1:3" s="32" customFormat="1">
      <c r="A32" s="59">
        <v>26</v>
      </c>
      <c r="B32" s="51" t="s">
        <v>108</v>
      </c>
      <c r="C32" s="618">
        <f>C33+C34</f>
        <v>0</v>
      </c>
    </row>
    <row r="33" spans="1:3" s="32" customFormat="1">
      <c r="A33" s="59">
        <v>27</v>
      </c>
      <c r="B33" s="61" t="s">
        <v>160</v>
      </c>
      <c r="C33" s="616">
        <v>0</v>
      </c>
    </row>
    <row r="34" spans="1:3" s="32" customFormat="1">
      <c r="A34" s="59">
        <v>28</v>
      </c>
      <c r="B34" s="61" t="s">
        <v>107</v>
      </c>
      <c r="C34" s="616">
        <v>0</v>
      </c>
    </row>
    <row r="35" spans="1:3" s="32" customFormat="1">
      <c r="A35" s="59">
        <v>29</v>
      </c>
      <c r="B35" s="51" t="s">
        <v>106</v>
      </c>
      <c r="C35" s="616">
        <v>0</v>
      </c>
    </row>
    <row r="36" spans="1:3" s="622" customFormat="1">
      <c r="A36" s="623">
        <v>30</v>
      </c>
      <c r="B36" s="58" t="s">
        <v>105</v>
      </c>
      <c r="C36" s="621">
        <f>SUM(C37:C41)</f>
        <v>0</v>
      </c>
    </row>
    <row r="37" spans="1:3" s="32" customFormat="1">
      <c r="A37" s="59">
        <v>31</v>
      </c>
      <c r="B37" s="54" t="s">
        <v>104</v>
      </c>
      <c r="C37" s="616">
        <v>0</v>
      </c>
    </row>
    <row r="38" spans="1:3" s="32" customFormat="1">
      <c r="A38" s="59">
        <v>32</v>
      </c>
      <c r="B38" s="55" t="s">
        <v>103</v>
      </c>
      <c r="C38" s="616">
        <v>0</v>
      </c>
    </row>
    <row r="39" spans="1:3" s="32" customFormat="1" ht="26.4">
      <c r="A39" s="59">
        <v>33</v>
      </c>
      <c r="B39" s="54" t="s">
        <v>685</v>
      </c>
      <c r="C39" s="616">
        <v>0</v>
      </c>
    </row>
    <row r="40" spans="1:3" s="32" customFormat="1">
      <c r="A40" s="59"/>
      <c r="B40" s="54"/>
      <c r="C40" s="616"/>
    </row>
    <row r="41" spans="1:3" s="32" customFormat="1">
      <c r="A41" s="59">
        <v>35</v>
      </c>
      <c r="B41" s="56" t="s">
        <v>102</v>
      </c>
      <c r="C41" s="616">
        <v>0</v>
      </c>
    </row>
    <row r="42" spans="1:3" s="622" customFormat="1">
      <c r="A42" s="623">
        <v>36</v>
      </c>
      <c r="B42" s="58" t="s">
        <v>101</v>
      </c>
      <c r="C42" s="621">
        <f>C31-C36</f>
        <v>0</v>
      </c>
    </row>
    <row r="43" spans="1:3" s="32" customFormat="1">
      <c r="A43" s="59"/>
      <c r="B43" s="60"/>
      <c r="C43" s="616"/>
    </row>
    <row r="44" spans="1:3" s="622" customFormat="1">
      <c r="A44" s="623">
        <v>37</v>
      </c>
      <c r="B44" s="62" t="s">
        <v>100</v>
      </c>
      <c r="C44" s="621">
        <f>SUM(C45:C47)</f>
        <v>19770360</v>
      </c>
    </row>
    <row r="45" spans="1:3" s="32" customFormat="1">
      <c r="A45" s="59">
        <v>38</v>
      </c>
      <c r="B45" s="51" t="s">
        <v>99</v>
      </c>
      <c r="C45" s="616">
        <v>19770360</v>
      </c>
    </row>
    <row r="46" spans="1:3" s="32" customFormat="1">
      <c r="A46" s="59">
        <v>39</v>
      </c>
      <c r="B46" s="51" t="s">
        <v>98</v>
      </c>
      <c r="C46" s="616">
        <v>0</v>
      </c>
    </row>
    <row r="47" spans="1:3" s="32" customFormat="1">
      <c r="A47" s="59">
        <v>40</v>
      </c>
      <c r="B47" s="51" t="s">
        <v>97</v>
      </c>
      <c r="C47" s="616">
        <v>0</v>
      </c>
    </row>
    <row r="48" spans="1:3" s="622" customFormat="1">
      <c r="A48" s="623">
        <v>41</v>
      </c>
      <c r="B48" s="62" t="s">
        <v>96</v>
      </c>
      <c r="C48" s="621">
        <f>SUM(C49:C52)</f>
        <v>0</v>
      </c>
    </row>
    <row r="49" spans="1:3" s="32" customFormat="1">
      <c r="A49" s="59">
        <v>42</v>
      </c>
      <c r="B49" s="54" t="s">
        <v>95</v>
      </c>
      <c r="C49" s="616">
        <v>0</v>
      </c>
    </row>
    <row r="50" spans="1:3" s="32" customFormat="1">
      <c r="A50" s="59">
        <v>43</v>
      </c>
      <c r="B50" s="55" t="s">
        <v>94</v>
      </c>
      <c r="C50" s="616">
        <v>0</v>
      </c>
    </row>
    <row r="51" spans="1:3" s="32" customFormat="1">
      <c r="A51" s="59">
        <v>44</v>
      </c>
      <c r="B51" s="54" t="s">
        <v>686</v>
      </c>
      <c r="C51" s="616">
        <v>0</v>
      </c>
    </row>
    <row r="52" spans="1:3" s="32" customFormat="1">
      <c r="A52" s="59"/>
      <c r="B52" s="54"/>
      <c r="C52" s="616"/>
    </row>
    <row r="53" spans="1:3" s="622" customFormat="1" ht="13.8" thickBot="1">
      <c r="A53" s="623">
        <v>46</v>
      </c>
      <c r="B53" s="63" t="s">
        <v>93</v>
      </c>
      <c r="C53" s="624">
        <f>C44-C48</f>
        <v>19770360</v>
      </c>
    </row>
    <row r="56" spans="1:3">
      <c r="B56" s="4" t="s">
        <v>8</v>
      </c>
    </row>
  </sheetData>
  <dataValidations disablePrompts="1"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heetViews>
  <sheetFormatPr defaultColWidth="9.21875" defaultRowHeight="13.8"/>
  <cols>
    <col min="1" max="1" width="11.109375" style="111" customWidth="1"/>
    <col min="2" max="2" width="59" style="111" customWidth="1"/>
    <col min="3" max="3" width="16.77734375" style="111" bestFit="1" customWidth="1"/>
    <col min="4" max="4" width="13.21875" style="111" bestFit="1" customWidth="1"/>
    <col min="5" max="16384" width="9.21875" style="111"/>
  </cols>
  <sheetData>
    <row r="1" spans="1:4">
      <c r="A1" s="560" t="s">
        <v>680</v>
      </c>
      <c r="B1" s="552" t="str">
        <f>'Info '!C2</f>
        <v>Crystal</v>
      </c>
    </row>
    <row r="2" spans="1:4" s="109" customFormat="1" ht="15.75" customHeight="1">
      <c r="A2" s="554" t="s">
        <v>31</v>
      </c>
      <c r="B2" s="553">
        <f>'1. key ratios '!B2</f>
        <v>45930</v>
      </c>
    </row>
    <row r="3" spans="1:4" s="109" customFormat="1" ht="15.75" customHeight="1"/>
    <row r="4" spans="1:4" ht="14.4" thickBot="1">
      <c r="A4" s="111" t="s">
        <v>241</v>
      </c>
      <c r="B4" s="176" t="s">
        <v>242</v>
      </c>
    </row>
    <row r="5" spans="1:4" s="116" customFormat="1" ht="12.75" customHeight="1">
      <c r="A5" s="202"/>
      <c r="B5" s="203" t="s">
        <v>245</v>
      </c>
      <c r="C5" s="169" t="s">
        <v>243</v>
      </c>
      <c r="D5" s="170" t="s">
        <v>244</v>
      </c>
    </row>
    <row r="6" spans="1:4" s="177" customFormat="1">
      <c r="A6" s="171">
        <v>1</v>
      </c>
      <c r="B6" s="195" t="s">
        <v>246</v>
      </c>
      <c r="C6" s="195"/>
      <c r="D6" s="172"/>
    </row>
    <row r="7" spans="1:4" s="177" customFormat="1">
      <c r="A7" s="173" t="s">
        <v>233</v>
      </c>
      <c r="B7" s="196" t="s">
        <v>247</v>
      </c>
      <c r="C7" s="392">
        <v>4.4999999999999998E-2</v>
      </c>
      <c r="D7" s="390">
        <v>28031224.59317537</v>
      </c>
    </row>
    <row r="8" spans="1:4" s="177" customFormat="1">
      <c r="A8" s="173" t="s">
        <v>234</v>
      </c>
      <c r="B8" s="196" t="s">
        <v>248</v>
      </c>
      <c r="C8" s="393">
        <v>0.06</v>
      </c>
      <c r="D8" s="390">
        <v>37374966.124233827</v>
      </c>
    </row>
    <row r="9" spans="1:4" s="177" customFormat="1">
      <c r="A9" s="173" t="s">
        <v>235</v>
      </c>
      <c r="B9" s="196" t="s">
        <v>249</v>
      </c>
      <c r="C9" s="393">
        <v>0.08</v>
      </c>
      <c r="D9" s="390">
        <v>49833288.165645108</v>
      </c>
    </row>
    <row r="10" spans="1:4" s="177" customFormat="1">
      <c r="A10" s="171" t="s">
        <v>236</v>
      </c>
      <c r="B10" s="195" t="s">
        <v>250</v>
      </c>
      <c r="C10" s="191"/>
      <c r="D10" s="197"/>
    </row>
    <row r="11" spans="1:4" s="178" customFormat="1">
      <c r="A11" s="174" t="s">
        <v>237</v>
      </c>
      <c r="B11" s="189" t="s">
        <v>669</v>
      </c>
      <c r="C11" s="394">
        <v>2.5000000000000001E-2</v>
      </c>
      <c r="D11" s="390">
        <v>15572902.551764095</v>
      </c>
    </row>
    <row r="12" spans="1:4" s="178" customFormat="1">
      <c r="A12" s="174" t="s">
        <v>238</v>
      </c>
      <c r="B12" s="189" t="s">
        <v>251</v>
      </c>
      <c r="C12" s="394">
        <v>5.0000000000000001E-3</v>
      </c>
      <c r="D12" s="390">
        <v>3114580.5103528192</v>
      </c>
    </row>
    <row r="13" spans="1:4" s="178" customFormat="1">
      <c r="A13" s="174"/>
      <c r="B13" s="189"/>
      <c r="C13" s="192"/>
      <c r="D13" s="190"/>
    </row>
    <row r="14" spans="1:4" s="178" customFormat="1">
      <c r="A14" s="171" t="s">
        <v>239</v>
      </c>
      <c r="B14" s="195" t="s">
        <v>295</v>
      </c>
      <c r="C14" s="193"/>
      <c r="D14" s="198"/>
    </row>
    <row r="15" spans="1:4" s="178" customFormat="1">
      <c r="A15" s="174">
        <v>3.1</v>
      </c>
      <c r="B15" s="189" t="s">
        <v>255</v>
      </c>
      <c r="C15" s="394">
        <v>2.9733558608392229E-2</v>
      </c>
      <c r="D15" s="390">
        <v>18521512.429026343</v>
      </c>
    </row>
    <row r="16" spans="1:4" s="178" customFormat="1">
      <c r="A16" s="174">
        <v>3.2</v>
      </c>
      <c r="B16" s="189" t="s">
        <v>256</v>
      </c>
      <c r="C16" s="394">
        <v>3.448355860839223E-2</v>
      </c>
      <c r="D16" s="390">
        <v>21480363.913861524</v>
      </c>
    </row>
    <row r="17" spans="1:4" s="177" customFormat="1">
      <c r="A17" s="174">
        <v>3.3</v>
      </c>
      <c r="B17" s="189" t="s">
        <v>257</v>
      </c>
      <c r="C17" s="394">
        <v>4.0733558608392229E-2</v>
      </c>
      <c r="D17" s="390">
        <v>25373589.551802546</v>
      </c>
    </row>
    <row r="18" spans="1:4" s="116" customFormat="1" ht="12.75" customHeight="1">
      <c r="A18" s="200"/>
      <c r="B18" s="201" t="s">
        <v>294</v>
      </c>
      <c r="C18" s="194" t="s">
        <v>243</v>
      </c>
      <c r="D18" s="199" t="s">
        <v>244</v>
      </c>
    </row>
    <row r="19" spans="1:4" s="177" customFormat="1">
      <c r="A19" s="175">
        <v>4</v>
      </c>
      <c r="B19" s="189" t="s">
        <v>252</v>
      </c>
      <c r="C19" s="394">
        <f>C7+C11+C12+C13+C15</f>
        <v>0.10473355860839224</v>
      </c>
      <c r="D19" s="390">
        <v>65240220.084318638</v>
      </c>
    </row>
    <row r="20" spans="1:4" s="177" customFormat="1">
      <c r="A20" s="175">
        <v>5</v>
      </c>
      <c r="B20" s="189" t="s">
        <v>83</v>
      </c>
      <c r="C20" s="394">
        <f>C8+C11+C12+C13+C16</f>
        <v>0.12448355860839222</v>
      </c>
      <c r="D20" s="390">
        <v>77542813.100212261</v>
      </c>
    </row>
    <row r="21" spans="1:4" s="177" customFormat="1" ht="14.4" thickBot="1">
      <c r="A21" s="179" t="s">
        <v>240</v>
      </c>
      <c r="B21" s="180" t="s">
        <v>253</v>
      </c>
      <c r="C21" s="395">
        <f>C9+C11+C12+C13+C17</f>
        <v>0.15073355860839224</v>
      </c>
      <c r="D21" s="391">
        <v>93894360.779564574</v>
      </c>
    </row>
    <row r="23" spans="1:4">
      <c r="B23" s="14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F68"/>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560" t="s">
        <v>680</v>
      </c>
      <c r="B1" s="552" t="str">
        <f>'Info '!C2</f>
        <v>Crystal</v>
      </c>
      <c r="E1" s="4"/>
      <c r="F1" s="4"/>
    </row>
    <row r="2" spans="1:6" s="2" customFormat="1" ht="15.75" customHeight="1">
      <c r="A2" s="64" t="s">
        <v>31</v>
      </c>
      <c r="B2" s="553">
        <f>'1. key ratios '!B2</f>
        <v>45930</v>
      </c>
    </row>
    <row r="3" spans="1:6" s="2" customFormat="1" ht="15.75" customHeight="1">
      <c r="A3" s="64"/>
    </row>
    <row r="4" spans="1:6" s="2" customFormat="1" ht="15.75" customHeight="1" thickBot="1">
      <c r="A4" s="2" t="s">
        <v>46</v>
      </c>
      <c r="B4" s="105" t="s">
        <v>148</v>
      </c>
      <c r="D4" s="24" t="s">
        <v>35</v>
      </c>
    </row>
    <row r="5" spans="1:6" ht="26.4">
      <c r="A5" s="65" t="s">
        <v>7</v>
      </c>
      <c r="B5" s="123" t="s">
        <v>184</v>
      </c>
      <c r="C5" s="66" t="s">
        <v>591</v>
      </c>
      <c r="D5" s="67" t="s">
        <v>48</v>
      </c>
    </row>
    <row r="6" spans="1:6" s="602" customFormat="1" ht="14.4">
      <c r="A6" s="606">
        <v>1</v>
      </c>
      <c r="B6" s="534" t="s">
        <v>492</v>
      </c>
      <c r="C6" s="613">
        <f>SUM(C7:C9)</f>
        <v>65476176.312899999</v>
      </c>
      <c r="D6" s="614"/>
      <c r="E6" s="70"/>
    </row>
    <row r="7" spans="1:6" ht="14.4">
      <c r="A7" s="226">
        <v>1.1000000000000001</v>
      </c>
      <c r="B7" s="535" t="s">
        <v>493</v>
      </c>
      <c r="C7" s="590">
        <v>30039314.6237</v>
      </c>
      <c r="D7" s="546"/>
      <c r="E7" s="68"/>
    </row>
    <row r="8" spans="1:6" ht="14.4">
      <c r="A8" s="226">
        <v>1.2</v>
      </c>
      <c r="B8" s="535" t="s">
        <v>494</v>
      </c>
      <c r="C8" s="590">
        <v>28174408.510000002</v>
      </c>
      <c r="D8" s="546"/>
      <c r="E8" s="68"/>
    </row>
    <row r="9" spans="1:6" ht="14.4">
      <c r="A9" s="226">
        <v>1.3</v>
      </c>
      <c r="B9" s="535" t="s">
        <v>495</v>
      </c>
      <c r="C9" s="590">
        <v>7262453.1792000001</v>
      </c>
      <c r="D9" s="546"/>
      <c r="E9" s="68"/>
    </row>
    <row r="10" spans="1:6" s="602" customFormat="1" ht="14.4">
      <c r="A10" s="606">
        <v>2</v>
      </c>
      <c r="B10" s="536" t="s">
        <v>496</v>
      </c>
      <c r="C10" s="605">
        <v>0</v>
      </c>
      <c r="D10" s="548"/>
      <c r="E10" s="70"/>
    </row>
    <row r="11" spans="1:6" ht="14.4">
      <c r="A11" s="226">
        <v>2.1</v>
      </c>
      <c r="B11" s="537" t="s">
        <v>497</v>
      </c>
      <c r="C11" s="591">
        <v>0</v>
      </c>
      <c r="D11" s="547"/>
      <c r="E11" s="69"/>
    </row>
    <row r="12" spans="1:6" s="602" customFormat="1" ht="14.4">
      <c r="A12" s="606">
        <v>3</v>
      </c>
      <c r="B12" s="538" t="s">
        <v>498</v>
      </c>
      <c r="C12" s="609">
        <v>0</v>
      </c>
      <c r="D12" s="611"/>
      <c r="E12" s="612"/>
    </row>
    <row r="13" spans="1:6" s="602" customFormat="1" ht="14.4">
      <c r="A13" s="606">
        <v>4</v>
      </c>
      <c r="B13" s="509" t="s">
        <v>499</v>
      </c>
      <c r="C13" s="609">
        <v>0</v>
      </c>
      <c r="D13" s="611"/>
      <c r="E13" s="612"/>
    </row>
    <row r="14" spans="1:6" s="602" customFormat="1" ht="14.4">
      <c r="A14" s="606">
        <v>5</v>
      </c>
      <c r="B14" s="512" t="s">
        <v>500</v>
      </c>
      <c r="C14" s="609">
        <f>SUM(C15:C17)</f>
        <v>0</v>
      </c>
      <c r="D14" s="611"/>
      <c r="E14" s="612"/>
    </row>
    <row r="15" spans="1:6" ht="14.4">
      <c r="A15" s="226">
        <v>5.0999999999999996</v>
      </c>
      <c r="B15" s="508" t="s">
        <v>501</v>
      </c>
      <c r="C15" s="590">
        <v>0</v>
      </c>
      <c r="D15" s="547"/>
      <c r="E15" s="68"/>
    </row>
    <row r="16" spans="1:6" ht="14.4">
      <c r="A16" s="226">
        <v>5.2</v>
      </c>
      <c r="B16" s="508" t="s">
        <v>502</v>
      </c>
      <c r="C16" s="590">
        <v>0</v>
      </c>
      <c r="D16" s="546"/>
      <c r="E16" s="68"/>
    </row>
    <row r="17" spans="1:5" ht="14.4">
      <c r="A17" s="226">
        <v>5.3</v>
      </c>
      <c r="B17" s="539" t="s">
        <v>503</v>
      </c>
      <c r="C17" s="590">
        <v>0</v>
      </c>
      <c r="D17" s="546"/>
      <c r="E17" s="68"/>
    </row>
    <row r="18" spans="1:5" s="602" customFormat="1" ht="14.4">
      <c r="A18" s="606">
        <v>6</v>
      </c>
      <c r="B18" s="538" t="s">
        <v>504</v>
      </c>
      <c r="C18" s="605">
        <f>SUM(C19:C20)</f>
        <v>559834185.44436443</v>
      </c>
      <c r="D18" s="548"/>
      <c r="E18" s="70"/>
    </row>
    <row r="19" spans="1:5" ht="14.4">
      <c r="A19" s="226">
        <v>6.1</v>
      </c>
      <c r="B19" s="508" t="s">
        <v>502</v>
      </c>
      <c r="C19" s="591">
        <v>0</v>
      </c>
      <c r="D19" s="546"/>
      <c r="E19" s="68"/>
    </row>
    <row r="20" spans="1:5" ht="14.4">
      <c r="A20" s="226">
        <v>6.2</v>
      </c>
      <c r="B20" s="539" t="s">
        <v>503</v>
      </c>
      <c r="C20" s="591">
        <v>559834185.44436443</v>
      </c>
      <c r="D20" s="546"/>
      <c r="E20" s="68"/>
    </row>
    <row r="21" spans="1:5" s="602" customFormat="1" ht="14.4">
      <c r="A21" s="606">
        <v>7</v>
      </c>
      <c r="B21" s="536" t="s">
        <v>505</v>
      </c>
      <c r="C21" s="609">
        <v>609791</v>
      </c>
      <c r="D21" s="601" t="s">
        <v>741</v>
      </c>
      <c r="E21" s="70"/>
    </row>
    <row r="22" spans="1:5" s="602" customFormat="1" ht="14.4">
      <c r="A22" s="606">
        <v>8</v>
      </c>
      <c r="B22" s="536" t="s">
        <v>506</v>
      </c>
      <c r="C22" s="605">
        <v>0</v>
      </c>
      <c r="D22" s="548"/>
      <c r="E22" s="70"/>
    </row>
    <row r="23" spans="1:5" s="602" customFormat="1" ht="14.4">
      <c r="A23" s="606">
        <v>9</v>
      </c>
      <c r="B23" s="509" t="s">
        <v>507</v>
      </c>
      <c r="C23" s="605">
        <f>SUM(C24:C25)</f>
        <v>23010500.460000001</v>
      </c>
      <c r="D23" s="610"/>
      <c r="E23" s="70"/>
    </row>
    <row r="24" spans="1:5" ht="14.4">
      <c r="A24" s="226">
        <v>9.1</v>
      </c>
      <c r="B24" s="508" t="s">
        <v>508</v>
      </c>
      <c r="C24" s="592">
        <v>23010500.460000001</v>
      </c>
      <c r="D24" s="546"/>
      <c r="E24" s="68"/>
    </row>
    <row r="25" spans="1:5" ht="14.4">
      <c r="A25" s="226">
        <v>9.1999999999999993</v>
      </c>
      <c r="B25" s="508" t="s">
        <v>509</v>
      </c>
      <c r="C25" s="593">
        <v>0</v>
      </c>
      <c r="D25" s="548"/>
      <c r="E25" s="70"/>
    </row>
    <row r="26" spans="1:5" s="602" customFormat="1" ht="14.4">
      <c r="A26" s="606">
        <v>10</v>
      </c>
      <c r="B26" s="509" t="s">
        <v>510</v>
      </c>
      <c r="C26" s="608">
        <f>SUM(C27:C28)</f>
        <v>4592510.5999999996</v>
      </c>
      <c r="D26" s="601" t="s">
        <v>742</v>
      </c>
      <c r="E26" s="70"/>
    </row>
    <row r="27" spans="1:5" ht="14.4">
      <c r="A27" s="226">
        <v>10.1</v>
      </c>
      <c r="B27" s="508" t="s">
        <v>511</v>
      </c>
      <c r="C27" s="590">
        <v>0</v>
      </c>
      <c r="D27" s="546"/>
      <c r="E27" s="68"/>
    </row>
    <row r="28" spans="1:5" ht="14.4">
      <c r="A28" s="226">
        <v>10.199999999999999</v>
      </c>
      <c r="B28" s="508" t="s">
        <v>512</v>
      </c>
      <c r="C28" s="590">
        <v>4592510.5999999996</v>
      </c>
      <c r="D28" s="546"/>
      <c r="E28" s="68"/>
    </row>
    <row r="29" spans="1:5" s="602" customFormat="1" ht="14.4">
      <c r="A29" s="606">
        <v>11</v>
      </c>
      <c r="B29" s="509" t="s">
        <v>513</v>
      </c>
      <c r="C29" s="605">
        <f>SUM(C30:C31)</f>
        <v>3213479.31</v>
      </c>
      <c r="D29" s="548"/>
      <c r="E29" s="70"/>
    </row>
    <row r="30" spans="1:5" ht="14.4">
      <c r="A30" s="226">
        <v>11.1</v>
      </c>
      <c r="B30" s="508" t="s">
        <v>514</v>
      </c>
      <c r="C30" s="590">
        <v>1847099.46</v>
      </c>
      <c r="D30" s="546"/>
      <c r="E30" s="68"/>
    </row>
    <row r="31" spans="1:5" ht="14.4">
      <c r="A31" s="226">
        <v>11.2</v>
      </c>
      <c r="B31" s="508" t="s">
        <v>515</v>
      </c>
      <c r="C31" s="590">
        <v>1366379.85</v>
      </c>
      <c r="D31" s="546"/>
      <c r="E31" s="68"/>
    </row>
    <row r="32" spans="1:5" s="602" customFormat="1" ht="14.4">
      <c r="A32" s="606">
        <v>13</v>
      </c>
      <c r="B32" s="509" t="s">
        <v>516</v>
      </c>
      <c r="C32" s="605">
        <v>8634755.1754999962</v>
      </c>
      <c r="D32" s="548"/>
      <c r="E32" s="70"/>
    </row>
    <row r="33" spans="1:5" ht="14.4">
      <c r="A33" s="226">
        <v>13.1</v>
      </c>
      <c r="B33" s="540" t="s">
        <v>517</v>
      </c>
      <c r="C33" s="590">
        <v>3265159.5400000005</v>
      </c>
      <c r="D33" s="546"/>
      <c r="E33" s="68"/>
    </row>
    <row r="34" spans="1:5" ht="14.4">
      <c r="A34" s="226">
        <v>13.2</v>
      </c>
      <c r="B34" s="540" t="s">
        <v>518</v>
      </c>
      <c r="C34" s="592">
        <v>0</v>
      </c>
      <c r="D34" s="546"/>
      <c r="E34" s="68"/>
    </row>
    <row r="35" spans="1:5" s="602" customFormat="1" ht="14.4">
      <c r="A35" s="606">
        <v>14</v>
      </c>
      <c r="B35" s="509" t="s">
        <v>519</v>
      </c>
      <c r="C35" s="607">
        <f>SUM(C6,C10,C12,C13,C14,C18,C21,C22,C23,C26,C29,C32)</f>
        <v>665371398.30276442</v>
      </c>
      <c r="D35" s="548"/>
      <c r="E35" s="70"/>
    </row>
    <row r="36" spans="1:5" ht="14.4">
      <c r="A36" s="226"/>
      <c r="B36" s="541" t="s">
        <v>520</v>
      </c>
      <c r="C36" s="594"/>
      <c r="D36" s="549"/>
      <c r="E36" s="68"/>
    </row>
    <row r="37" spans="1:5" s="602" customFormat="1" ht="14.4">
      <c r="A37" s="606">
        <v>15</v>
      </c>
      <c r="B37" s="536" t="s">
        <v>521</v>
      </c>
      <c r="C37" s="593">
        <v>0</v>
      </c>
      <c r="D37" s="548"/>
      <c r="E37" s="70"/>
    </row>
    <row r="38" spans="1:5" ht="14.4">
      <c r="A38" s="227">
        <v>15.1</v>
      </c>
      <c r="B38" s="537" t="s">
        <v>497</v>
      </c>
      <c r="C38" s="590">
        <v>0</v>
      </c>
      <c r="D38" s="546"/>
      <c r="E38" s="68"/>
    </row>
    <row r="39" spans="1:5" s="602" customFormat="1" ht="14.4">
      <c r="A39" s="599">
        <v>16</v>
      </c>
      <c r="B39" s="536" t="s">
        <v>522</v>
      </c>
      <c r="C39" s="605">
        <v>8314201.5199999902</v>
      </c>
      <c r="D39" s="548"/>
      <c r="E39" s="70"/>
    </row>
    <row r="40" spans="1:5" s="602" customFormat="1" ht="14.4">
      <c r="A40" s="599">
        <v>17</v>
      </c>
      <c r="B40" s="536" t="s">
        <v>523</v>
      </c>
      <c r="C40" s="605">
        <f>SUM(C41:C44)</f>
        <v>501251667.4498992</v>
      </c>
      <c r="D40" s="548"/>
      <c r="E40" s="70"/>
    </row>
    <row r="41" spans="1:5" ht="14.4">
      <c r="A41" s="227">
        <v>17.100000000000001</v>
      </c>
      <c r="B41" s="542" t="s">
        <v>524</v>
      </c>
      <c r="C41" s="590">
        <v>24209670.044999182</v>
      </c>
      <c r="D41" s="546"/>
      <c r="E41" s="68"/>
    </row>
    <row r="42" spans="1:5" ht="14.4">
      <c r="A42" s="227">
        <v>17.2</v>
      </c>
      <c r="B42" s="535" t="s">
        <v>525</v>
      </c>
      <c r="C42" s="590">
        <v>436084017.12080002</v>
      </c>
      <c r="D42" s="546"/>
      <c r="E42" s="68"/>
    </row>
    <row r="43" spans="1:5" ht="14.4">
      <c r="A43" s="227">
        <v>17.3</v>
      </c>
      <c r="B43" s="542" t="s">
        <v>526</v>
      </c>
      <c r="C43" s="592">
        <v>36621201.763599999</v>
      </c>
      <c r="D43" s="546"/>
      <c r="E43" s="68"/>
    </row>
    <row r="44" spans="1:5" ht="14.4">
      <c r="A44" s="227">
        <v>17.399999999999999</v>
      </c>
      <c r="B44" s="542" t="s">
        <v>527</v>
      </c>
      <c r="C44" s="595">
        <v>4336778.5204999996</v>
      </c>
      <c r="D44" s="546"/>
      <c r="E44" s="68"/>
    </row>
    <row r="45" spans="1:5" s="602" customFormat="1" ht="14.4">
      <c r="A45" s="599">
        <v>18</v>
      </c>
      <c r="B45" s="509" t="s">
        <v>528</v>
      </c>
      <c r="C45" s="596">
        <v>889651.43</v>
      </c>
      <c r="D45" s="548"/>
      <c r="E45" s="70"/>
    </row>
    <row r="46" spans="1:5" s="602" customFormat="1" ht="14.4">
      <c r="A46" s="599">
        <v>19</v>
      </c>
      <c r="B46" s="509" t="s">
        <v>529</v>
      </c>
      <c r="C46" s="600">
        <f>SUM(C47:C48)</f>
        <v>0</v>
      </c>
      <c r="D46" s="604"/>
    </row>
    <row r="47" spans="1:5" ht="14.4">
      <c r="A47" s="227">
        <v>19.100000000000001</v>
      </c>
      <c r="B47" s="505" t="s">
        <v>530</v>
      </c>
      <c r="C47" s="597">
        <v>0</v>
      </c>
      <c r="D47" s="550"/>
    </row>
    <row r="48" spans="1:5" ht="14.4">
      <c r="A48" s="227">
        <v>19.2</v>
      </c>
      <c r="B48" s="505" t="s">
        <v>531</v>
      </c>
      <c r="C48" s="597">
        <v>0</v>
      </c>
      <c r="D48" s="550"/>
    </row>
    <row r="49" spans="1:4" s="602" customFormat="1" ht="14.4">
      <c r="A49" s="599">
        <v>20</v>
      </c>
      <c r="B49" s="543" t="s">
        <v>532</v>
      </c>
      <c r="C49" s="600">
        <v>34180216.171300001</v>
      </c>
      <c r="D49" s="601" t="s">
        <v>743</v>
      </c>
    </row>
    <row r="50" spans="1:4" s="602" customFormat="1" ht="14.4">
      <c r="A50" s="599">
        <v>21</v>
      </c>
      <c r="B50" s="536" t="s">
        <v>533</v>
      </c>
      <c r="C50" s="600">
        <v>15281679.355</v>
      </c>
      <c r="D50" s="604"/>
    </row>
    <row r="51" spans="1:4" ht="14.4">
      <c r="A51" s="227">
        <v>21.1</v>
      </c>
      <c r="B51" s="535" t="s">
        <v>534</v>
      </c>
      <c r="C51" s="597">
        <v>64778.053599999999</v>
      </c>
      <c r="D51" s="550"/>
    </row>
    <row r="52" spans="1:4" s="602" customFormat="1" ht="14.4">
      <c r="A52" s="599">
        <v>22</v>
      </c>
      <c r="B52" s="512" t="s">
        <v>535</v>
      </c>
      <c r="C52" s="600">
        <f>SUM(C37,C39,C40,C45,C46,C49,C50)</f>
        <v>559917415.9261992</v>
      </c>
      <c r="D52" s="604"/>
    </row>
    <row r="53" spans="1:4" ht="14.4">
      <c r="A53" s="227"/>
      <c r="B53" s="541" t="s">
        <v>536</v>
      </c>
      <c r="C53" s="598"/>
      <c r="D53" s="551"/>
    </row>
    <row r="54" spans="1:4" s="602" customFormat="1" ht="14.4">
      <c r="A54" s="599">
        <v>23</v>
      </c>
      <c r="B54" s="543" t="s">
        <v>537</v>
      </c>
      <c r="C54" s="600">
        <v>3634576</v>
      </c>
      <c r="D54" s="601" t="s">
        <v>744</v>
      </c>
    </row>
    <row r="55" spans="1:4" s="602" customFormat="1" ht="14.4">
      <c r="A55" s="599">
        <v>24</v>
      </c>
      <c r="B55" s="543" t="s">
        <v>538</v>
      </c>
      <c r="C55" s="600">
        <v>0</v>
      </c>
      <c r="D55" s="604"/>
    </row>
    <row r="56" spans="1:4" s="602" customFormat="1" ht="14.4">
      <c r="A56" s="599">
        <v>25</v>
      </c>
      <c r="B56" s="509" t="s">
        <v>539</v>
      </c>
      <c r="C56" s="600">
        <v>22109970.23</v>
      </c>
      <c r="D56" s="601" t="s">
        <v>745</v>
      </c>
    </row>
    <row r="57" spans="1:4" s="602" customFormat="1" ht="14.4">
      <c r="A57" s="599">
        <v>26</v>
      </c>
      <c r="B57" s="509" t="s">
        <v>540</v>
      </c>
      <c r="C57" s="600">
        <v>0</v>
      </c>
      <c r="D57" s="604"/>
    </row>
    <row r="58" spans="1:4" s="602" customFormat="1" ht="14.4">
      <c r="A58" s="599">
        <v>27</v>
      </c>
      <c r="B58" s="509" t="s">
        <v>541</v>
      </c>
      <c r="C58" s="600">
        <f>SUM(C59:C60)</f>
        <v>0</v>
      </c>
      <c r="D58" s="604"/>
    </row>
    <row r="59" spans="1:4" ht="14.4">
      <c r="A59" s="227">
        <v>27.1</v>
      </c>
      <c r="B59" s="542" t="s">
        <v>542</v>
      </c>
      <c r="C59" s="597">
        <v>0</v>
      </c>
      <c r="D59" s="550"/>
    </row>
    <row r="60" spans="1:4" ht="14.4">
      <c r="A60" s="227">
        <v>27.2</v>
      </c>
      <c r="B60" s="542" t="s">
        <v>543</v>
      </c>
      <c r="C60" s="597">
        <v>0</v>
      </c>
      <c r="D60" s="550"/>
    </row>
    <row r="61" spans="1:4" s="602" customFormat="1" ht="14.4">
      <c r="A61" s="599">
        <v>28</v>
      </c>
      <c r="B61" s="544" t="s">
        <v>544</v>
      </c>
      <c r="C61" s="600">
        <v>0</v>
      </c>
      <c r="D61" s="604"/>
    </row>
    <row r="62" spans="1:4" s="602" customFormat="1" ht="14.4">
      <c r="A62" s="599">
        <v>29</v>
      </c>
      <c r="B62" s="509" t="s">
        <v>545</v>
      </c>
      <c r="C62" s="600">
        <f>SUM(C63:C65)</f>
        <v>0</v>
      </c>
      <c r="D62" s="604"/>
    </row>
    <row r="63" spans="1:4" ht="14.4">
      <c r="A63" s="227">
        <v>29.1</v>
      </c>
      <c r="B63" s="539" t="s">
        <v>546</v>
      </c>
      <c r="C63" s="597">
        <v>0</v>
      </c>
      <c r="D63" s="550"/>
    </row>
    <row r="64" spans="1:4" ht="14.4">
      <c r="A64" s="227">
        <v>29.2</v>
      </c>
      <c r="B64" s="505" t="s">
        <v>547</v>
      </c>
      <c r="C64" s="597">
        <v>0</v>
      </c>
      <c r="D64" s="550"/>
    </row>
    <row r="65" spans="1:4" ht="14.4">
      <c r="A65" s="227">
        <v>29.3</v>
      </c>
      <c r="B65" s="505" t="s">
        <v>548</v>
      </c>
      <c r="C65" s="597">
        <v>0</v>
      </c>
      <c r="D65" s="550"/>
    </row>
    <row r="66" spans="1:4" s="602" customFormat="1" ht="14.4">
      <c r="A66" s="599">
        <v>30</v>
      </c>
      <c r="B66" s="509" t="s">
        <v>549</v>
      </c>
      <c r="C66" s="600">
        <v>79709436.146565333</v>
      </c>
      <c r="D66" s="601" t="s">
        <v>746</v>
      </c>
    </row>
    <row r="67" spans="1:4" s="602" customFormat="1" ht="14.4">
      <c r="A67" s="599">
        <v>31</v>
      </c>
      <c r="B67" s="545" t="s">
        <v>550</v>
      </c>
      <c r="C67" s="600">
        <f>SUM(C54:C58,C61:C62,C66)</f>
        <v>105453982.37656534</v>
      </c>
      <c r="D67" s="603"/>
    </row>
    <row r="68" spans="1:4" s="602" customFormat="1" ht="14.4">
      <c r="A68" s="599">
        <v>32</v>
      </c>
      <c r="B68" s="509" t="s">
        <v>551</v>
      </c>
      <c r="C68" s="600">
        <f>SUM(C52,C67)</f>
        <v>665371398.30276453</v>
      </c>
      <c r="D68" s="603"/>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S22"/>
  <sheetViews>
    <sheetView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2"/>
  <cols>
    <col min="1" max="1" width="11.109375" style="4" bestFit="1" customWidth="1"/>
    <col min="2" max="2" width="95" style="4" customWidth="1"/>
    <col min="3" max="3" width="14.109375" style="4" bestFit="1" customWidth="1"/>
    <col min="4" max="4" width="16.5546875" style="4" bestFit="1" customWidth="1"/>
    <col min="5" max="5" width="14.109375" style="4" bestFit="1" customWidth="1"/>
    <col min="6" max="6" width="16.5546875" style="4" bestFit="1" customWidth="1"/>
    <col min="7" max="7" width="13.109375" style="4" bestFit="1" customWidth="1"/>
    <col min="8" max="8" width="13.33203125" style="4" bestFit="1" customWidth="1"/>
    <col min="9" max="9" width="13.109375" style="4" bestFit="1" customWidth="1"/>
    <col min="10" max="10" width="13.33203125" style="4" bestFit="1" customWidth="1"/>
    <col min="11" max="11" width="15.109375" style="4" bestFit="1" customWidth="1"/>
    <col min="12" max="12" width="13.109375" style="23" bestFit="1" customWidth="1"/>
    <col min="13" max="13" width="14.109375" style="23" bestFit="1" customWidth="1"/>
    <col min="14" max="16" width="13.109375" style="23" bestFit="1" customWidth="1"/>
    <col min="17" max="17" width="14.77734375" style="23" customWidth="1"/>
    <col min="18" max="18" width="13.109375" style="23" bestFit="1" customWidth="1"/>
    <col min="19" max="19" width="34.77734375" style="23" customWidth="1"/>
    <col min="20" max="16384" width="9.21875" style="23"/>
  </cols>
  <sheetData>
    <row r="1" spans="1:19">
      <c r="A1" s="562" t="s">
        <v>680</v>
      </c>
      <c r="B1" s="552" t="str">
        <f>'Info '!C2</f>
        <v>Crystal</v>
      </c>
    </row>
    <row r="2" spans="1:19">
      <c r="A2" s="64" t="s">
        <v>31</v>
      </c>
      <c r="B2" s="553">
        <f>'1. key ratios '!B2</f>
        <v>45930</v>
      </c>
    </row>
    <row r="4" spans="1:19" ht="27" thickBot="1">
      <c r="A4" s="4" t="s">
        <v>132</v>
      </c>
      <c r="B4" s="137" t="s">
        <v>214</v>
      </c>
    </row>
    <row r="5" spans="1:19" s="130" customFormat="1" ht="13.8">
      <c r="A5" s="125"/>
      <c r="B5" s="126"/>
      <c r="C5" s="127" t="s">
        <v>0</v>
      </c>
      <c r="D5" s="127" t="s">
        <v>1</v>
      </c>
      <c r="E5" s="127" t="s">
        <v>2</v>
      </c>
      <c r="F5" s="127" t="s">
        <v>3</v>
      </c>
      <c r="G5" s="127" t="s">
        <v>4</v>
      </c>
      <c r="H5" s="127" t="s">
        <v>6</v>
      </c>
      <c r="I5" s="127" t="s">
        <v>9</v>
      </c>
      <c r="J5" s="127" t="s">
        <v>10</v>
      </c>
      <c r="K5" s="127" t="s">
        <v>11</v>
      </c>
      <c r="L5" s="127" t="s">
        <v>12</v>
      </c>
      <c r="M5" s="127" t="s">
        <v>13</v>
      </c>
      <c r="N5" s="127" t="s">
        <v>14</v>
      </c>
      <c r="O5" s="127" t="s">
        <v>198</v>
      </c>
      <c r="P5" s="127" t="s">
        <v>199</v>
      </c>
      <c r="Q5" s="127" t="s">
        <v>200</v>
      </c>
      <c r="R5" s="128" t="s">
        <v>201</v>
      </c>
      <c r="S5" s="129" t="s">
        <v>202</v>
      </c>
    </row>
    <row r="6" spans="1:19" s="130" customFormat="1" ht="99" customHeight="1">
      <c r="A6" s="131"/>
      <c r="B6" s="716" t="s">
        <v>203</v>
      </c>
      <c r="C6" s="712">
        <v>0</v>
      </c>
      <c r="D6" s="713"/>
      <c r="E6" s="712">
        <v>0.2</v>
      </c>
      <c r="F6" s="713"/>
      <c r="G6" s="712">
        <v>0.35</v>
      </c>
      <c r="H6" s="713"/>
      <c r="I6" s="712">
        <v>0.5</v>
      </c>
      <c r="J6" s="713"/>
      <c r="K6" s="712">
        <v>0.75</v>
      </c>
      <c r="L6" s="713"/>
      <c r="M6" s="712">
        <v>1</v>
      </c>
      <c r="N6" s="713"/>
      <c r="O6" s="712">
        <v>1.5</v>
      </c>
      <c r="P6" s="713"/>
      <c r="Q6" s="712">
        <v>2.5</v>
      </c>
      <c r="R6" s="713"/>
      <c r="S6" s="714" t="s">
        <v>131</v>
      </c>
    </row>
    <row r="7" spans="1:19" s="130" customFormat="1" ht="30.75" customHeight="1">
      <c r="A7" s="131"/>
      <c r="B7" s="717"/>
      <c r="C7" s="122" t="s">
        <v>134</v>
      </c>
      <c r="D7" s="122" t="s">
        <v>133</v>
      </c>
      <c r="E7" s="122" t="s">
        <v>134</v>
      </c>
      <c r="F7" s="122" t="s">
        <v>133</v>
      </c>
      <c r="G7" s="122" t="s">
        <v>134</v>
      </c>
      <c r="H7" s="122" t="s">
        <v>133</v>
      </c>
      <c r="I7" s="122" t="s">
        <v>134</v>
      </c>
      <c r="J7" s="122" t="s">
        <v>133</v>
      </c>
      <c r="K7" s="122" t="s">
        <v>134</v>
      </c>
      <c r="L7" s="122" t="s">
        <v>133</v>
      </c>
      <c r="M7" s="122" t="s">
        <v>134</v>
      </c>
      <c r="N7" s="122" t="s">
        <v>133</v>
      </c>
      <c r="O7" s="122" t="s">
        <v>134</v>
      </c>
      <c r="P7" s="122" t="s">
        <v>133</v>
      </c>
      <c r="Q7" s="122" t="s">
        <v>134</v>
      </c>
      <c r="R7" s="122" t="s">
        <v>133</v>
      </c>
      <c r="S7" s="715"/>
    </row>
    <row r="8" spans="1:19">
      <c r="A8" s="71">
        <v>1</v>
      </c>
      <c r="B8" s="1" t="s">
        <v>50</v>
      </c>
      <c r="C8" s="396">
        <v>28174408.510000002</v>
      </c>
      <c r="D8" s="396"/>
      <c r="E8" s="396"/>
      <c r="F8" s="396"/>
      <c r="G8" s="396"/>
      <c r="H8" s="396"/>
      <c r="I8" s="396"/>
      <c r="J8" s="396"/>
      <c r="K8" s="396"/>
      <c r="L8" s="396"/>
      <c r="M8" s="396"/>
      <c r="N8" s="396"/>
      <c r="O8" s="396"/>
      <c r="P8" s="396"/>
      <c r="Q8" s="396"/>
      <c r="R8" s="396"/>
      <c r="S8" s="396">
        <f>$C$6*SUM(C8:D8)+$E$6*SUM(E8:F8)+$G$6*SUM(G8:H8)+$I$6*SUM(I8:J8)+$K$6*SUM(K8:L8)+$M$6*SUM(M8:N8)+$O$6*SUM(O8:P8)+$Q$6*SUM(Q8:R8)</f>
        <v>0</v>
      </c>
    </row>
    <row r="9" spans="1:19">
      <c r="A9" s="71">
        <v>2</v>
      </c>
      <c r="B9" s="1" t="s">
        <v>51</v>
      </c>
      <c r="C9" s="396"/>
      <c r="D9" s="396"/>
      <c r="E9" s="396"/>
      <c r="F9" s="396"/>
      <c r="G9" s="396"/>
      <c r="H9" s="396"/>
      <c r="I9" s="396"/>
      <c r="J9" s="396"/>
      <c r="K9" s="396"/>
      <c r="L9" s="396"/>
      <c r="M9" s="396"/>
      <c r="N9" s="396"/>
      <c r="O9" s="396"/>
      <c r="P9" s="396"/>
      <c r="Q9" s="396"/>
      <c r="R9" s="396"/>
      <c r="S9" s="396">
        <f t="shared" ref="S9:S21" si="0">$C$6*SUM(C9:D9)+$E$6*SUM(E9:F9)+$G$6*SUM(G9:H9)+$I$6*SUM(I9:J9)+$K$6*SUM(K9:L9)+$M$6*SUM(M9:N9)+$O$6*SUM(O9:P9)+$Q$6*SUM(Q9:R9)</f>
        <v>0</v>
      </c>
    </row>
    <row r="10" spans="1:19">
      <c r="A10" s="71">
        <v>3</v>
      </c>
      <c r="B10" s="1" t="s">
        <v>138</v>
      </c>
      <c r="C10" s="396"/>
      <c r="D10" s="396"/>
      <c r="E10" s="396"/>
      <c r="F10" s="396"/>
      <c r="G10" s="396"/>
      <c r="H10" s="396"/>
      <c r="I10" s="396"/>
      <c r="J10" s="396"/>
      <c r="K10" s="396"/>
      <c r="L10" s="396"/>
      <c r="M10" s="396"/>
      <c r="N10" s="396"/>
      <c r="O10" s="396"/>
      <c r="P10" s="396"/>
      <c r="Q10" s="396"/>
      <c r="R10" s="396"/>
      <c r="S10" s="396">
        <f t="shared" si="0"/>
        <v>0</v>
      </c>
    </row>
    <row r="11" spans="1:19">
      <c r="A11" s="71">
        <v>4</v>
      </c>
      <c r="B11" s="1" t="s">
        <v>52</v>
      </c>
      <c r="C11" s="396"/>
      <c r="D11" s="396"/>
      <c r="E11" s="396"/>
      <c r="F11" s="396"/>
      <c r="G11" s="396"/>
      <c r="H11" s="396"/>
      <c r="I11" s="396"/>
      <c r="J11" s="396"/>
      <c r="K11" s="396"/>
      <c r="L11" s="396"/>
      <c r="M11" s="396"/>
      <c r="N11" s="396"/>
      <c r="O11" s="396"/>
      <c r="P11" s="396"/>
      <c r="Q11" s="396"/>
      <c r="R11" s="396"/>
      <c r="S11" s="396">
        <f t="shared" si="0"/>
        <v>0</v>
      </c>
    </row>
    <row r="12" spans="1:19">
      <c r="A12" s="71">
        <v>5</v>
      </c>
      <c r="B12" s="1" t="s">
        <v>53</v>
      </c>
      <c r="C12" s="396"/>
      <c r="D12" s="396"/>
      <c r="E12" s="396"/>
      <c r="F12" s="396"/>
      <c r="G12" s="396"/>
      <c r="H12" s="396"/>
      <c r="I12" s="396"/>
      <c r="J12" s="396"/>
      <c r="K12" s="396"/>
      <c r="L12" s="396"/>
      <c r="M12" s="396"/>
      <c r="N12" s="396"/>
      <c r="O12" s="396"/>
      <c r="P12" s="396"/>
      <c r="Q12" s="396"/>
      <c r="R12" s="396"/>
      <c r="S12" s="396">
        <f t="shared" si="0"/>
        <v>0</v>
      </c>
    </row>
    <row r="13" spans="1:19">
      <c r="A13" s="71">
        <v>6</v>
      </c>
      <c r="B13" s="1" t="s">
        <v>687</v>
      </c>
      <c r="C13" s="396"/>
      <c r="D13" s="396"/>
      <c r="E13" s="396">
        <v>5889572.7800000003</v>
      </c>
      <c r="F13" s="396"/>
      <c r="G13" s="396"/>
      <c r="H13" s="396"/>
      <c r="I13" s="396">
        <v>1372880.3992000001</v>
      </c>
      <c r="J13" s="396"/>
      <c r="K13" s="396"/>
      <c r="L13" s="396"/>
      <c r="M13" s="396"/>
      <c r="N13" s="396"/>
      <c r="O13" s="396"/>
      <c r="P13" s="396"/>
      <c r="Q13" s="396"/>
      <c r="R13" s="396"/>
      <c r="S13" s="396">
        <f t="shared" si="0"/>
        <v>1864354.7556000003</v>
      </c>
    </row>
    <row r="14" spans="1:19">
      <c r="A14" s="71">
        <v>7</v>
      </c>
      <c r="B14" s="1" t="s">
        <v>54</v>
      </c>
      <c r="C14" s="396"/>
      <c r="D14" s="396"/>
      <c r="E14" s="396"/>
      <c r="F14" s="396"/>
      <c r="G14" s="396"/>
      <c r="H14" s="396"/>
      <c r="I14" s="396"/>
      <c r="J14" s="396"/>
      <c r="K14" s="396"/>
      <c r="L14" s="396"/>
      <c r="M14" s="396"/>
      <c r="N14" s="396"/>
      <c r="O14" s="396"/>
      <c r="P14" s="396"/>
      <c r="Q14" s="396"/>
      <c r="R14" s="396"/>
      <c r="S14" s="396">
        <f t="shared" si="0"/>
        <v>0</v>
      </c>
    </row>
    <row r="15" spans="1:19">
      <c r="A15" s="71">
        <v>8</v>
      </c>
      <c r="B15" s="1" t="s">
        <v>55</v>
      </c>
      <c r="C15" s="396"/>
      <c r="D15" s="396"/>
      <c r="E15" s="396"/>
      <c r="F15" s="396"/>
      <c r="G15" s="396"/>
      <c r="H15" s="396"/>
      <c r="I15" s="396" t="s">
        <v>5</v>
      </c>
      <c r="J15" s="396"/>
      <c r="K15" s="396">
        <v>555295581.00388241</v>
      </c>
      <c r="L15" s="396"/>
      <c r="M15" s="396"/>
      <c r="N15" s="396">
        <v>589012.95668999979</v>
      </c>
      <c r="O15" s="396"/>
      <c r="P15" s="396"/>
      <c r="Q15" s="396"/>
      <c r="R15" s="396"/>
      <c r="S15" s="396">
        <f t="shared" si="0"/>
        <v>417060698.70960182</v>
      </c>
    </row>
    <row r="16" spans="1:19">
      <c r="A16" s="71">
        <v>9</v>
      </c>
      <c r="B16" s="1" t="s">
        <v>56</v>
      </c>
      <c r="C16" s="396"/>
      <c r="D16" s="396"/>
      <c r="E16" s="396"/>
      <c r="F16" s="396"/>
      <c r="G16" s="396"/>
      <c r="H16" s="396"/>
      <c r="I16" s="396"/>
      <c r="J16" s="396"/>
      <c r="K16" s="396"/>
      <c r="L16" s="396"/>
      <c r="M16" s="396"/>
      <c r="N16" s="396"/>
      <c r="O16" s="396"/>
      <c r="P16" s="396"/>
      <c r="Q16" s="396"/>
      <c r="R16" s="396"/>
      <c r="S16" s="396">
        <f t="shared" si="0"/>
        <v>0</v>
      </c>
    </row>
    <row r="17" spans="1:19">
      <c r="A17" s="71">
        <v>10</v>
      </c>
      <c r="B17" s="1" t="s">
        <v>57</v>
      </c>
      <c r="C17" s="396"/>
      <c r="D17" s="396"/>
      <c r="E17" s="396"/>
      <c r="F17" s="396"/>
      <c r="G17" s="396"/>
      <c r="H17" s="396"/>
      <c r="I17" s="396"/>
      <c r="J17" s="396"/>
      <c r="K17" s="396"/>
      <c r="L17" s="396"/>
      <c r="M17" s="396">
        <v>3026471.5966487718</v>
      </c>
      <c r="N17" s="396"/>
      <c r="O17" s="396">
        <v>1512132.8438349694</v>
      </c>
      <c r="P17" s="396"/>
      <c r="Q17" s="396"/>
      <c r="R17" s="396"/>
      <c r="S17" s="396">
        <f t="shared" si="0"/>
        <v>5294670.8624012265</v>
      </c>
    </row>
    <row r="18" spans="1:19">
      <c r="A18" s="71">
        <v>11</v>
      </c>
      <c r="B18" s="1" t="s">
        <v>58</v>
      </c>
      <c r="C18" s="396"/>
      <c r="D18" s="396"/>
      <c r="E18" s="396"/>
      <c r="F18" s="396"/>
      <c r="G18" s="396"/>
      <c r="H18" s="396"/>
      <c r="I18" s="396"/>
      <c r="J18" s="396"/>
      <c r="K18" s="396"/>
      <c r="L18" s="396"/>
      <c r="M18" s="396"/>
      <c r="N18" s="396"/>
      <c r="O18" s="396"/>
      <c r="P18" s="396"/>
      <c r="Q18" s="396"/>
      <c r="R18" s="396"/>
      <c r="S18" s="396">
        <f t="shared" si="0"/>
        <v>0</v>
      </c>
    </row>
    <row r="19" spans="1:19">
      <c r="A19" s="71">
        <v>12</v>
      </c>
      <c r="B19" s="1" t="s">
        <v>59</v>
      </c>
      <c r="C19" s="396"/>
      <c r="D19" s="396"/>
      <c r="E19" s="396"/>
      <c r="F19" s="396"/>
      <c r="G19" s="396"/>
      <c r="H19" s="396"/>
      <c r="I19" s="396"/>
      <c r="J19" s="396"/>
      <c r="K19" s="396"/>
      <c r="L19" s="396"/>
      <c r="M19" s="396"/>
      <c r="N19" s="396"/>
      <c r="O19" s="396"/>
      <c r="P19" s="396"/>
      <c r="Q19" s="396"/>
      <c r="R19" s="396"/>
      <c r="S19" s="396">
        <f t="shared" si="0"/>
        <v>0</v>
      </c>
    </row>
    <row r="20" spans="1:19">
      <c r="A20" s="71">
        <v>13</v>
      </c>
      <c r="B20" s="1" t="s">
        <v>130</v>
      </c>
      <c r="C20" s="396"/>
      <c r="D20" s="396"/>
      <c r="E20" s="396"/>
      <c r="F20" s="396"/>
      <c r="G20" s="396"/>
      <c r="H20" s="396"/>
      <c r="I20" s="396"/>
      <c r="J20" s="396"/>
      <c r="K20" s="396"/>
      <c r="L20" s="396"/>
      <c r="M20" s="396"/>
      <c r="N20" s="396"/>
      <c r="O20" s="396"/>
      <c r="P20" s="396"/>
      <c r="Q20" s="396"/>
      <c r="R20" s="396"/>
      <c r="S20" s="396">
        <f t="shared" si="0"/>
        <v>0</v>
      </c>
    </row>
    <row r="21" spans="1:19">
      <c r="A21" s="71">
        <v>14</v>
      </c>
      <c r="B21" s="1" t="s">
        <v>61</v>
      </c>
      <c r="C21" s="396">
        <v>30039314.623699993</v>
      </c>
      <c r="D21" s="396"/>
      <c r="E21" s="396"/>
      <c r="F21" s="396"/>
      <c r="G21" s="396"/>
      <c r="H21" s="396"/>
      <c r="I21" s="396"/>
      <c r="J21" s="396"/>
      <c r="K21" s="396"/>
      <c r="L21" s="396"/>
      <c r="M21" s="396">
        <v>33492355.095499996</v>
      </c>
      <c r="N21" s="396"/>
      <c r="O21" s="396"/>
      <c r="P21" s="396"/>
      <c r="Q21" s="396">
        <v>1366379.85</v>
      </c>
      <c r="R21" s="396"/>
      <c r="S21" s="396">
        <f t="shared" si="0"/>
        <v>36908304.720499992</v>
      </c>
    </row>
    <row r="22" spans="1:19" s="583" customFormat="1" ht="13.8" thickBot="1">
      <c r="A22" s="588"/>
      <c r="B22" s="73" t="s">
        <v>62</v>
      </c>
      <c r="C22" s="589">
        <f>SUM(C8:C21)</f>
        <v>58213723.133699998</v>
      </c>
      <c r="D22" s="589">
        <f t="shared" ref="D22:S22" si="1">SUM(D8:D21)</f>
        <v>0</v>
      </c>
      <c r="E22" s="589">
        <f t="shared" si="1"/>
        <v>5889572.7800000003</v>
      </c>
      <c r="F22" s="589">
        <f t="shared" si="1"/>
        <v>0</v>
      </c>
      <c r="G22" s="589">
        <f t="shared" si="1"/>
        <v>0</v>
      </c>
      <c r="H22" s="589">
        <f t="shared" si="1"/>
        <v>0</v>
      </c>
      <c r="I22" s="589">
        <f t="shared" si="1"/>
        <v>1372880.3992000001</v>
      </c>
      <c r="J22" s="589">
        <f t="shared" si="1"/>
        <v>0</v>
      </c>
      <c r="K22" s="589">
        <f t="shared" si="1"/>
        <v>555295581.00388241</v>
      </c>
      <c r="L22" s="589">
        <f t="shared" si="1"/>
        <v>0</v>
      </c>
      <c r="M22" s="589">
        <f t="shared" si="1"/>
        <v>36518826.692148767</v>
      </c>
      <c r="N22" s="589">
        <f t="shared" si="1"/>
        <v>589012.95668999979</v>
      </c>
      <c r="O22" s="589">
        <f t="shared" si="1"/>
        <v>1512132.8438349694</v>
      </c>
      <c r="P22" s="589">
        <f t="shared" si="1"/>
        <v>0</v>
      </c>
      <c r="Q22" s="589">
        <f t="shared" si="1"/>
        <v>1366379.85</v>
      </c>
      <c r="R22" s="589">
        <f t="shared" si="1"/>
        <v>0</v>
      </c>
      <c r="S22" s="589">
        <f t="shared" si="1"/>
        <v>461128029.04810303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V28"/>
  <sheetViews>
    <sheetView zoomScale="70" zoomScaleNormal="70" workbookViewId="0">
      <pane xSplit="2" ySplit="6" topLeftCell="C7" activePane="bottomRight" state="frozen"/>
      <selection pane="topRight"/>
      <selection pane="bottomLeft"/>
      <selection pane="bottomRight" activeCell="C7" sqref="C7"/>
    </sheetView>
  </sheetViews>
  <sheetFormatPr defaultColWidth="9.21875" defaultRowHeight="13.2"/>
  <cols>
    <col min="1" max="1" width="11.1093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23"/>
  </cols>
  <sheetData>
    <row r="1" spans="1:22">
      <c r="A1" s="562" t="s">
        <v>680</v>
      </c>
      <c r="B1" s="552" t="str">
        <f>'Info '!C2</f>
        <v>Crystal</v>
      </c>
    </row>
    <row r="2" spans="1:22">
      <c r="A2" s="64" t="s">
        <v>31</v>
      </c>
      <c r="B2" s="553">
        <f>'1. key ratios '!B2</f>
        <v>45930</v>
      </c>
    </row>
    <row r="4" spans="1:22" ht="13.8" thickBot="1">
      <c r="A4" s="4" t="s">
        <v>206</v>
      </c>
      <c r="B4" s="74" t="s">
        <v>49</v>
      </c>
      <c r="V4" s="24" t="s">
        <v>35</v>
      </c>
    </row>
    <row r="5" spans="1:22" ht="12.75" customHeight="1">
      <c r="A5" s="75"/>
      <c r="B5" s="76"/>
      <c r="C5" s="718" t="s">
        <v>142</v>
      </c>
      <c r="D5" s="719"/>
      <c r="E5" s="719"/>
      <c r="F5" s="719"/>
      <c r="G5" s="719"/>
      <c r="H5" s="719"/>
      <c r="I5" s="719"/>
      <c r="J5" s="719"/>
      <c r="K5" s="719"/>
      <c r="L5" s="720"/>
      <c r="M5" s="721" t="s">
        <v>143</v>
      </c>
      <c r="N5" s="722"/>
      <c r="O5" s="722"/>
      <c r="P5" s="722"/>
      <c r="Q5" s="722"/>
      <c r="R5" s="722"/>
      <c r="S5" s="723"/>
      <c r="T5" s="726" t="s">
        <v>204</v>
      </c>
      <c r="U5" s="726" t="s">
        <v>205</v>
      </c>
      <c r="V5" s="724" t="s">
        <v>70</v>
      </c>
    </row>
    <row r="6" spans="1:22" s="44" customFormat="1" ht="92.4">
      <c r="A6" s="42"/>
      <c r="B6" s="77"/>
      <c r="C6" s="78"/>
      <c r="D6" s="106" t="s">
        <v>63</v>
      </c>
      <c r="E6" s="89" t="s">
        <v>144</v>
      </c>
      <c r="F6" s="89"/>
      <c r="G6" s="106"/>
      <c r="H6" s="106"/>
      <c r="I6" s="106"/>
      <c r="J6" s="106" t="s">
        <v>64</v>
      </c>
      <c r="K6" s="79"/>
      <c r="L6" s="80"/>
      <c r="M6" s="78" t="s">
        <v>145</v>
      </c>
      <c r="N6" s="79" t="s">
        <v>65</v>
      </c>
      <c r="O6" s="79" t="s">
        <v>66</v>
      </c>
      <c r="P6" s="79" t="s">
        <v>67</v>
      </c>
      <c r="Q6" s="79" t="s">
        <v>68</v>
      </c>
      <c r="R6" s="79" t="s">
        <v>69</v>
      </c>
      <c r="S6" s="124" t="s">
        <v>146</v>
      </c>
      <c r="T6" s="727"/>
      <c r="U6" s="727"/>
      <c r="V6" s="725"/>
    </row>
    <row r="7" spans="1:22">
      <c r="A7" s="81">
        <v>1</v>
      </c>
      <c r="B7" s="1" t="s">
        <v>50</v>
      </c>
      <c r="C7" s="398"/>
      <c r="D7" s="396"/>
      <c r="E7" s="396"/>
      <c r="F7" s="396"/>
      <c r="G7" s="396"/>
      <c r="H7" s="396"/>
      <c r="I7" s="396"/>
      <c r="J7" s="396"/>
      <c r="K7" s="396"/>
      <c r="L7" s="399"/>
      <c r="M7" s="398"/>
      <c r="N7" s="396"/>
      <c r="O7" s="396"/>
      <c r="P7" s="396"/>
      <c r="Q7" s="396"/>
      <c r="R7" s="396"/>
      <c r="S7" s="399"/>
      <c r="T7" s="400"/>
      <c r="U7" s="400"/>
      <c r="V7" s="401">
        <f>SUM(C7:S7)</f>
        <v>0</v>
      </c>
    </row>
    <row r="8" spans="1:22">
      <c r="A8" s="81">
        <v>2</v>
      </c>
      <c r="B8" s="1" t="s">
        <v>51</v>
      </c>
      <c r="C8" s="398"/>
      <c r="D8" s="396"/>
      <c r="E8" s="396"/>
      <c r="F8" s="396"/>
      <c r="G8" s="396"/>
      <c r="H8" s="396"/>
      <c r="I8" s="396"/>
      <c r="J8" s="396"/>
      <c r="K8" s="396"/>
      <c r="L8" s="399"/>
      <c r="M8" s="398"/>
      <c r="N8" s="396"/>
      <c r="O8" s="396"/>
      <c r="P8" s="396"/>
      <c r="Q8" s="396"/>
      <c r="R8" s="396"/>
      <c r="S8" s="399"/>
      <c r="T8" s="400"/>
      <c r="U8" s="400"/>
      <c r="V8" s="401">
        <f t="shared" ref="V8:V20" si="0">SUM(C8:S8)</f>
        <v>0</v>
      </c>
    </row>
    <row r="9" spans="1:22">
      <c r="A9" s="81">
        <v>3</v>
      </c>
      <c r="B9" s="1" t="s">
        <v>139</v>
      </c>
      <c r="C9" s="398"/>
      <c r="D9" s="396"/>
      <c r="E9" s="396"/>
      <c r="F9" s="396"/>
      <c r="G9" s="396"/>
      <c r="H9" s="396"/>
      <c r="I9" s="396"/>
      <c r="J9" s="396"/>
      <c r="K9" s="396"/>
      <c r="L9" s="399"/>
      <c r="M9" s="398"/>
      <c r="N9" s="396"/>
      <c r="O9" s="396"/>
      <c r="P9" s="396"/>
      <c r="Q9" s="396"/>
      <c r="R9" s="396"/>
      <c r="S9" s="399"/>
      <c r="T9" s="400"/>
      <c r="U9" s="400"/>
      <c r="V9" s="401">
        <f t="shared" si="0"/>
        <v>0</v>
      </c>
    </row>
    <row r="10" spans="1:22">
      <c r="A10" s="81">
        <v>4</v>
      </c>
      <c r="B10" s="1" t="s">
        <v>52</v>
      </c>
      <c r="C10" s="398"/>
      <c r="D10" s="396"/>
      <c r="E10" s="396"/>
      <c r="F10" s="396"/>
      <c r="G10" s="396"/>
      <c r="H10" s="396"/>
      <c r="I10" s="396"/>
      <c r="J10" s="396"/>
      <c r="K10" s="396"/>
      <c r="L10" s="399"/>
      <c r="M10" s="398"/>
      <c r="N10" s="396"/>
      <c r="O10" s="396"/>
      <c r="P10" s="396"/>
      <c r="Q10" s="396"/>
      <c r="R10" s="396"/>
      <c r="S10" s="399"/>
      <c r="T10" s="400"/>
      <c r="U10" s="400"/>
      <c r="V10" s="401">
        <f t="shared" si="0"/>
        <v>0</v>
      </c>
    </row>
    <row r="11" spans="1:22">
      <c r="A11" s="81">
        <v>5</v>
      </c>
      <c r="B11" s="1" t="s">
        <v>53</v>
      </c>
      <c r="C11" s="398"/>
      <c r="D11" s="396"/>
      <c r="E11" s="396"/>
      <c r="F11" s="396"/>
      <c r="G11" s="396"/>
      <c r="H11" s="396"/>
      <c r="I11" s="396"/>
      <c r="J11" s="396"/>
      <c r="K11" s="396"/>
      <c r="L11" s="399"/>
      <c r="M11" s="398"/>
      <c r="N11" s="396"/>
      <c r="O11" s="396"/>
      <c r="P11" s="396"/>
      <c r="Q11" s="396"/>
      <c r="R11" s="396"/>
      <c r="S11" s="399"/>
      <c r="T11" s="400"/>
      <c r="U11" s="400"/>
      <c r="V11" s="401">
        <f t="shared" si="0"/>
        <v>0</v>
      </c>
    </row>
    <row r="12" spans="1:22">
      <c r="A12" s="81">
        <v>6</v>
      </c>
      <c r="B12" s="1" t="s">
        <v>687</v>
      </c>
      <c r="C12" s="398"/>
      <c r="D12" s="396"/>
      <c r="E12" s="396"/>
      <c r="F12" s="396"/>
      <c r="G12" s="396"/>
      <c r="H12" s="396"/>
      <c r="I12" s="396"/>
      <c r="J12" s="396"/>
      <c r="K12" s="396"/>
      <c r="L12" s="399"/>
      <c r="M12" s="398"/>
      <c r="N12" s="396"/>
      <c r="O12" s="396"/>
      <c r="P12" s="396"/>
      <c r="Q12" s="396"/>
      <c r="R12" s="396"/>
      <c r="S12" s="399"/>
      <c r="T12" s="400"/>
      <c r="U12" s="400"/>
      <c r="V12" s="401">
        <f t="shared" si="0"/>
        <v>0</v>
      </c>
    </row>
    <row r="13" spans="1:22">
      <c r="A13" s="81">
        <v>7</v>
      </c>
      <c r="B13" s="1" t="s">
        <v>54</v>
      </c>
      <c r="C13" s="398"/>
      <c r="D13" s="396"/>
      <c r="E13" s="396"/>
      <c r="F13" s="396"/>
      <c r="G13" s="396"/>
      <c r="H13" s="396"/>
      <c r="I13" s="396"/>
      <c r="J13" s="396"/>
      <c r="K13" s="396"/>
      <c r="L13" s="399"/>
      <c r="M13" s="398"/>
      <c r="N13" s="396"/>
      <c r="O13" s="396"/>
      <c r="P13" s="396"/>
      <c r="Q13" s="396"/>
      <c r="R13" s="396"/>
      <c r="S13" s="399"/>
      <c r="T13" s="400"/>
      <c r="U13" s="400"/>
      <c r="V13" s="401">
        <f t="shared" si="0"/>
        <v>0</v>
      </c>
    </row>
    <row r="14" spans="1:22">
      <c r="A14" s="81">
        <v>8</v>
      </c>
      <c r="B14" s="1" t="s">
        <v>55</v>
      </c>
      <c r="C14" s="398"/>
      <c r="D14" s="396"/>
      <c r="E14" s="396"/>
      <c r="F14" s="396"/>
      <c r="G14" s="396"/>
      <c r="H14" s="396"/>
      <c r="I14" s="396"/>
      <c r="J14" s="396"/>
      <c r="K14" s="396"/>
      <c r="L14" s="399"/>
      <c r="M14" s="398"/>
      <c r="N14" s="396"/>
      <c r="O14" s="396"/>
      <c r="P14" s="396"/>
      <c r="Q14" s="396"/>
      <c r="R14" s="396"/>
      <c r="S14" s="399"/>
      <c r="T14" s="400"/>
      <c r="U14" s="400"/>
      <c r="V14" s="401">
        <f t="shared" si="0"/>
        <v>0</v>
      </c>
    </row>
    <row r="15" spans="1:22">
      <c r="A15" s="81">
        <v>9</v>
      </c>
      <c r="B15" s="1" t="s">
        <v>56</v>
      </c>
      <c r="C15" s="398"/>
      <c r="D15" s="396"/>
      <c r="E15" s="396"/>
      <c r="F15" s="396"/>
      <c r="G15" s="396"/>
      <c r="H15" s="396"/>
      <c r="I15" s="396"/>
      <c r="J15" s="396"/>
      <c r="K15" s="396"/>
      <c r="L15" s="399"/>
      <c r="M15" s="398"/>
      <c r="N15" s="396"/>
      <c r="O15" s="396"/>
      <c r="P15" s="396"/>
      <c r="Q15" s="396"/>
      <c r="R15" s="396"/>
      <c r="S15" s="399"/>
      <c r="T15" s="400"/>
      <c r="U15" s="400"/>
      <c r="V15" s="401">
        <f t="shared" si="0"/>
        <v>0</v>
      </c>
    </row>
    <row r="16" spans="1:22">
      <c r="A16" s="81">
        <v>10</v>
      </c>
      <c r="B16" s="1" t="s">
        <v>57</v>
      </c>
      <c r="C16" s="398"/>
      <c r="D16" s="396"/>
      <c r="E16" s="396"/>
      <c r="F16" s="396"/>
      <c r="G16" s="396"/>
      <c r="H16" s="396"/>
      <c r="I16" s="396"/>
      <c r="J16" s="396"/>
      <c r="K16" s="396"/>
      <c r="L16" s="399"/>
      <c r="M16" s="398"/>
      <c r="N16" s="396"/>
      <c r="O16" s="396"/>
      <c r="P16" s="396"/>
      <c r="Q16" s="396"/>
      <c r="R16" s="396"/>
      <c r="S16" s="399"/>
      <c r="T16" s="400"/>
      <c r="U16" s="400"/>
      <c r="V16" s="401">
        <f t="shared" si="0"/>
        <v>0</v>
      </c>
    </row>
    <row r="17" spans="1:22">
      <c r="A17" s="81">
        <v>11</v>
      </c>
      <c r="B17" s="1" t="s">
        <v>58</v>
      </c>
      <c r="C17" s="398"/>
      <c r="D17" s="396"/>
      <c r="E17" s="396"/>
      <c r="F17" s="396"/>
      <c r="G17" s="396"/>
      <c r="H17" s="396"/>
      <c r="I17" s="396"/>
      <c r="J17" s="396"/>
      <c r="K17" s="396"/>
      <c r="L17" s="399"/>
      <c r="M17" s="398"/>
      <c r="N17" s="396"/>
      <c r="O17" s="396"/>
      <c r="P17" s="396"/>
      <c r="Q17" s="396"/>
      <c r="R17" s="396"/>
      <c r="S17" s="399"/>
      <c r="T17" s="400"/>
      <c r="U17" s="400"/>
      <c r="V17" s="401">
        <f t="shared" si="0"/>
        <v>0</v>
      </c>
    </row>
    <row r="18" spans="1:22">
      <c r="A18" s="81">
        <v>12</v>
      </c>
      <c r="B18" s="1" t="s">
        <v>59</v>
      </c>
      <c r="C18" s="398"/>
      <c r="D18" s="396"/>
      <c r="E18" s="396"/>
      <c r="F18" s="396"/>
      <c r="G18" s="396"/>
      <c r="H18" s="396"/>
      <c r="I18" s="396"/>
      <c r="J18" s="396"/>
      <c r="K18" s="396"/>
      <c r="L18" s="399"/>
      <c r="M18" s="398"/>
      <c r="N18" s="396"/>
      <c r="O18" s="396"/>
      <c r="P18" s="396"/>
      <c r="Q18" s="396"/>
      <c r="R18" s="396"/>
      <c r="S18" s="399"/>
      <c r="T18" s="400"/>
      <c r="U18" s="400"/>
      <c r="V18" s="401">
        <f t="shared" si="0"/>
        <v>0</v>
      </c>
    </row>
    <row r="19" spans="1:22">
      <c r="A19" s="81">
        <v>13</v>
      </c>
      <c r="B19" s="1" t="s">
        <v>60</v>
      </c>
      <c r="C19" s="398"/>
      <c r="D19" s="396"/>
      <c r="E19" s="396"/>
      <c r="F19" s="396"/>
      <c r="G19" s="396"/>
      <c r="H19" s="396"/>
      <c r="I19" s="396"/>
      <c r="J19" s="396"/>
      <c r="K19" s="396"/>
      <c r="L19" s="399"/>
      <c r="M19" s="398"/>
      <c r="N19" s="396"/>
      <c r="O19" s="396"/>
      <c r="P19" s="396"/>
      <c r="Q19" s="396"/>
      <c r="R19" s="396"/>
      <c r="S19" s="399"/>
      <c r="T19" s="400"/>
      <c r="U19" s="400"/>
      <c r="V19" s="401">
        <f t="shared" si="0"/>
        <v>0</v>
      </c>
    </row>
    <row r="20" spans="1:22">
      <c r="A20" s="81">
        <v>14</v>
      </c>
      <c r="B20" s="1" t="s">
        <v>61</v>
      </c>
      <c r="C20" s="398"/>
      <c r="D20" s="396"/>
      <c r="E20" s="396"/>
      <c r="F20" s="396"/>
      <c r="G20" s="396"/>
      <c r="H20" s="396"/>
      <c r="I20" s="396"/>
      <c r="J20" s="396"/>
      <c r="K20" s="396"/>
      <c r="L20" s="399"/>
      <c r="M20" s="398"/>
      <c r="N20" s="396"/>
      <c r="O20" s="396"/>
      <c r="P20" s="396"/>
      <c r="Q20" s="396"/>
      <c r="R20" s="396"/>
      <c r="S20" s="399"/>
      <c r="T20" s="400"/>
      <c r="U20" s="400"/>
      <c r="V20" s="401">
        <f t="shared" si="0"/>
        <v>0</v>
      </c>
    </row>
    <row r="21" spans="1:22" ht="13.8" thickBot="1">
      <c r="A21" s="72"/>
      <c r="B21" s="82" t="s">
        <v>62</v>
      </c>
      <c r="C21" s="402">
        <f>SUM(C7:C20)</f>
        <v>0</v>
      </c>
      <c r="D21" s="397">
        <f t="shared" ref="D21:V21" si="1">SUM(D7:D20)</f>
        <v>0</v>
      </c>
      <c r="E21" s="397">
        <f t="shared" si="1"/>
        <v>0</v>
      </c>
      <c r="F21" s="397">
        <f t="shared" si="1"/>
        <v>0</v>
      </c>
      <c r="G21" s="397">
        <f t="shared" si="1"/>
        <v>0</v>
      </c>
      <c r="H21" s="397">
        <f t="shared" si="1"/>
        <v>0</v>
      </c>
      <c r="I21" s="397">
        <f t="shared" si="1"/>
        <v>0</v>
      </c>
      <c r="J21" s="397">
        <f t="shared" si="1"/>
        <v>0</v>
      </c>
      <c r="K21" s="397">
        <f t="shared" si="1"/>
        <v>0</v>
      </c>
      <c r="L21" s="403">
        <f t="shared" si="1"/>
        <v>0</v>
      </c>
      <c r="M21" s="402">
        <f t="shared" si="1"/>
        <v>0</v>
      </c>
      <c r="N21" s="397">
        <f t="shared" si="1"/>
        <v>0</v>
      </c>
      <c r="O21" s="397">
        <f t="shared" si="1"/>
        <v>0</v>
      </c>
      <c r="P21" s="397">
        <f t="shared" si="1"/>
        <v>0</v>
      </c>
      <c r="Q21" s="397">
        <f t="shared" si="1"/>
        <v>0</v>
      </c>
      <c r="R21" s="397">
        <f t="shared" si="1"/>
        <v>0</v>
      </c>
      <c r="S21" s="403">
        <f>SUM(S7:S20)</f>
        <v>0</v>
      </c>
      <c r="T21" s="403">
        <f>SUM(T7:T20)</f>
        <v>0</v>
      </c>
      <c r="U21" s="403">
        <f t="shared" ref="U21" si="2">SUM(U7:U20)</f>
        <v>0</v>
      </c>
      <c r="V21" s="404">
        <f t="shared" si="1"/>
        <v>0</v>
      </c>
    </row>
    <row r="24" spans="1:22">
      <c r="C24" s="30"/>
      <c r="D24" s="30"/>
      <c r="E24" s="30"/>
    </row>
    <row r="25" spans="1:22">
      <c r="A25" s="41"/>
      <c r="B25" s="41"/>
      <c r="D25" s="30"/>
      <c r="E25" s="30"/>
    </row>
    <row r="26" spans="1:22">
      <c r="A26" s="41"/>
      <c r="B26" s="31"/>
      <c r="D26" s="30"/>
      <c r="E26" s="30"/>
    </row>
    <row r="27" spans="1:22">
      <c r="A27" s="41"/>
      <c r="B27" s="41"/>
      <c r="D27" s="30"/>
      <c r="E27" s="30"/>
    </row>
    <row r="28" spans="1:22">
      <c r="A28" s="41"/>
      <c r="B28" s="31"/>
      <c r="D28" s="30"/>
      <c r="E28" s="30"/>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I22"/>
  <sheetViews>
    <sheetView zoomScale="80"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8"/>
  <cols>
    <col min="1" max="1" width="10.6640625" style="4" bestFit="1" customWidth="1"/>
    <col min="2" max="2" width="101.77734375" style="4" customWidth="1"/>
    <col min="3" max="3" width="13.77734375" style="111" customWidth="1"/>
    <col min="4" max="4" width="14.77734375" style="111" bestFit="1" customWidth="1"/>
    <col min="5" max="5" width="17.77734375" style="111" customWidth="1"/>
    <col min="6" max="6" width="15.77734375" style="111" customWidth="1"/>
    <col min="7" max="7" width="17.44140625" style="111" customWidth="1"/>
    <col min="8" max="8" width="15.21875" style="111" customWidth="1"/>
    <col min="9" max="16384" width="9.21875" style="23"/>
  </cols>
  <sheetData>
    <row r="1" spans="1:9">
      <c r="A1" s="562" t="s">
        <v>680</v>
      </c>
      <c r="B1" s="564" t="str">
        <f>'Info '!C2</f>
        <v>Crystal</v>
      </c>
      <c r="C1" s="3"/>
    </row>
    <row r="2" spans="1:9">
      <c r="A2" s="64" t="s">
        <v>31</v>
      </c>
      <c r="B2" s="553">
        <f>'1. key ratios '!B2</f>
        <v>45930</v>
      </c>
      <c r="C2" s="214"/>
    </row>
    <row r="4" spans="1:9" ht="14.4" thickBot="1">
      <c r="A4" s="2" t="s">
        <v>136</v>
      </c>
      <c r="B4" s="74" t="s">
        <v>215</v>
      </c>
    </row>
    <row r="5" spans="1:9">
      <c r="A5" s="75"/>
      <c r="B5" s="83"/>
      <c r="C5" s="132" t="s">
        <v>0</v>
      </c>
      <c r="D5" s="132" t="s">
        <v>1</v>
      </c>
      <c r="E5" s="132" t="s">
        <v>2</v>
      </c>
      <c r="F5" s="132" t="s">
        <v>3</v>
      </c>
      <c r="G5" s="133" t="s">
        <v>4</v>
      </c>
      <c r="H5" s="134" t="s">
        <v>6</v>
      </c>
      <c r="I5" s="84"/>
    </row>
    <row r="6" spans="1:9" s="84" customFormat="1" ht="12.75" customHeight="1">
      <c r="A6" s="85"/>
      <c r="B6" s="730" t="s">
        <v>135</v>
      </c>
      <c r="C6" s="716" t="s">
        <v>208</v>
      </c>
      <c r="D6" s="732" t="s">
        <v>207</v>
      </c>
      <c r="E6" s="733"/>
      <c r="F6" s="716" t="s">
        <v>212</v>
      </c>
      <c r="G6" s="716" t="s">
        <v>213</v>
      </c>
      <c r="H6" s="728" t="s">
        <v>211</v>
      </c>
    </row>
    <row r="7" spans="1:9" ht="41.4">
      <c r="A7" s="87"/>
      <c r="B7" s="731"/>
      <c r="C7" s="717"/>
      <c r="D7" s="135" t="s">
        <v>210</v>
      </c>
      <c r="E7" s="135" t="s">
        <v>209</v>
      </c>
      <c r="F7" s="717"/>
      <c r="G7" s="717"/>
      <c r="H7" s="729"/>
      <c r="I7" s="84"/>
    </row>
    <row r="8" spans="1:9">
      <c r="A8" s="85">
        <v>1</v>
      </c>
      <c r="B8" s="1" t="s">
        <v>50</v>
      </c>
      <c r="C8" s="405">
        <v>28174408.510000002</v>
      </c>
      <c r="D8" s="405"/>
      <c r="E8" s="405"/>
      <c r="F8" s="405">
        <v>0</v>
      </c>
      <c r="G8" s="406">
        <v>0</v>
      </c>
      <c r="H8" s="136">
        <f>IFERROR(G8/(C8+E8),"")</f>
        <v>0</v>
      </c>
    </row>
    <row r="9" spans="1:9" ht="15" customHeight="1">
      <c r="A9" s="85">
        <v>2</v>
      </c>
      <c r="B9" s="1" t="s">
        <v>51</v>
      </c>
      <c r="C9" s="405"/>
      <c r="D9" s="405"/>
      <c r="E9" s="405"/>
      <c r="F9" s="405"/>
      <c r="G9" s="406"/>
      <c r="H9" s="136" t="str">
        <f t="shared" ref="H9:H22" si="0">IFERROR(G9/(C9+E9),"")</f>
        <v/>
      </c>
    </row>
    <row r="10" spans="1:9">
      <c r="A10" s="85">
        <v>3</v>
      </c>
      <c r="B10" s="1" t="s">
        <v>139</v>
      </c>
      <c r="C10" s="405"/>
      <c r="D10" s="405"/>
      <c r="E10" s="405"/>
      <c r="F10" s="405"/>
      <c r="G10" s="406"/>
      <c r="H10" s="136" t="str">
        <f t="shared" si="0"/>
        <v/>
      </c>
    </row>
    <row r="11" spans="1:9">
      <c r="A11" s="85">
        <v>4</v>
      </c>
      <c r="B11" s="1" t="s">
        <v>52</v>
      </c>
      <c r="C11" s="405"/>
      <c r="D11" s="405"/>
      <c r="E11" s="405"/>
      <c r="F11" s="405"/>
      <c r="G11" s="406"/>
      <c r="H11" s="136" t="str">
        <f t="shared" si="0"/>
        <v/>
      </c>
    </row>
    <row r="12" spans="1:9">
      <c r="A12" s="85">
        <v>5</v>
      </c>
      <c r="B12" s="1" t="s">
        <v>53</v>
      </c>
      <c r="C12" s="405"/>
      <c r="D12" s="405"/>
      <c r="E12" s="405"/>
      <c r="F12" s="405"/>
      <c r="G12" s="406"/>
      <c r="H12" s="136" t="str">
        <f t="shared" si="0"/>
        <v/>
      </c>
    </row>
    <row r="13" spans="1:9">
      <c r="A13" s="85">
        <v>6</v>
      </c>
      <c r="B13" s="1" t="s">
        <v>687</v>
      </c>
      <c r="C13" s="405">
        <v>7262453.1792000001</v>
      </c>
      <c r="D13" s="405"/>
      <c r="E13" s="405"/>
      <c r="F13" s="405">
        <v>1864354.7556000003</v>
      </c>
      <c r="G13" s="406">
        <v>1864354.7556000003</v>
      </c>
      <c r="H13" s="136">
        <f t="shared" si="0"/>
        <v>0.25671143201853586</v>
      </c>
    </row>
    <row r="14" spans="1:9">
      <c r="A14" s="85">
        <v>7</v>
      </c>
      <c r="B14" s="1" t="s">
        <v>54</v>
      </c>
      <c r="C14" s="405"/>
      <c r="D14" s="405"/>
      <c r="E14" s="405"/>
      <c r="F14" s="405"/>
      <c r="G14" s="406"/>
      <c r="H14" s="136" t="str">
        <f t="shared" si="0"/>
        <v/>
      </c>
    </row>
    <row r="15" spans="1:9">
      <c r="A15" s="85">
        <v>8</v>
      </c>
      <c r="B15" s="1" t="s">
        <v>55</v>
      </c>
      <c r="C15" s="405">
        <v>555295581.00388241</v>
      </c>
      <c r="D15" s="405">
        <v>2254584.292799999</v>
      </c>
      <c r="E15" s="405">
        <v>589012.95668999979</v>
      </c>
      <c r="F15" s="405">
        <v>416471685.75291181</v>
      </c>
      <c r="G15" s="406">
        <v>416471685.75291181</v>
      </c>
      <c r="H15" s="136">
        <f t="shared" si="0"/>
        <v>0.74920530318286027</v>
      </c>
    </row>
    <row r="16" spans="1:9">
      <c r="A16" s="85">
        <v>9</v>
      </c>
      <c r="B16" s="1" t="s">
        <v>56</v>
      </c>
      <c r="C16" s="405"/>
      <c r="D16" s="405"/>
      <c r="E16" s="405"/>
      <c r="F16" s="405"/>
      <c r="G16" s="406"/>
      <c r="H16" s="136" t="str">
        <f t="shared" si="0"/>
        <v/>
      </c>
    </row>
    <row r="17" spans="1:8">
      <c r="A17" s="85">
        <v>10</v>
      </c>
      <c r="B17" s="1" t="s">
        <v>57</v>
      </c>
      <c r="C17" s="405">
        <v>4538604.4404837424</v>
      </c>
      <c r="D17" s="405"/>
      <c r="E17" s="405"/>
      <c r="F17" s="405">
        <v>5294670.8624012265</v>
      </c>
      <c r="G17" s="406">
        <v>5294670.8624012265</v>
      </c>
      <c r="H17" s="136">
        <f t="shared" si="0"/>
        <v>1.1665856612604246</v>
      </c>
    </row>
    <row r="18" spans="1:8">
      <c r="A18" s="85">
        <v>11</v>
      </c>
      <c r="B18" s="1" t="s">
        <v>58</v>
      </c>
      <c r="C18" s="405"/>
      <c r="D18" s="405"/>
      <c r="E18" s="405"/>
      <c r="F18" s="405"/>
      <c r="G18" s="406"/>
      <c r="H18" s="136" t="str">
        <f t="shared" si="0"/>
        <v/>
      </c>
    </row>
    <row r="19" spans="1:8">
      <c r="A19" s="85">
        <v>12</v>
      </c>
      <c r="B19" s="1" t="s">
        <v>59</v>
      </c>
      <c r="C19" s="405"/>
      <c r="D19" s="405"/>
      <c r="E19" s="405"/>
      <c r="F19" s="405"/>
      <c r="G19" s="406"/>
      <c r="H19" s="136" t="str">
        <f t="shared" si="0"/>
        <v/>
      </c>
    </row>
    <row r="20" spans="1:8">
      <c r="A20" s="85">
        <v>13</v>
      </c>
      <c r="B20" s="1" t="s">
        <v>130</v>
      </c>
      <c r="C20" s="405"/>
      <c r="D20" s="405"/>
      <c r="E20" s="405"/>
      <c r="F20" s="405"/>
      <c r="G20" s="406"/>
      <c r="H20" s="136" t="str">
        <f t="shared" si="0"/>
        <v/>
      </c>
    </row>
    <row r="21" spans="1:8">
      <c r="A21" s="85">
        <v>14</v>
      </c>
      <c r="B21" s="1" t="s">
        <v>61</v>
      </c>
      <c r="C21" s="405">
        <v>64898049.569199987</v>
      </c>
      <c r="D21" s="405"/>
      <c r="E21" s="405"/>
      <c r="F21" s="405">
        <v>36908304.720499992</v>
      </c>
      <c r="G21" s="406">
        <v>36908304.720499992</v>
      </c>
      <c r="H21" s="136">
        <f t="shared" si="0"/>
        <v>0.56871207941534707</v>
      </c>
    </row>
    <row r="22" spans="1:8" s="583" customFormat="1" ht="14.4" thickBot="1">
      <c r="A22" s="320"/>
      <c r="B22" s="88" t="s">
        <v>62</v>
      </c>
      <c r="C22" s="586">
        <f>SUM(C8:C21)</f>
        <v>660169096.70276618</v>
      </c>
      <c r="D22" s="586">
        <f>SUM(D8:D21)</f>
        <v>2254584.292799999</v>
      </c>
      <c r="E22" s="586">
        <f>SUM(E8:E21)</f>
        <v>589012.95668999979</v>
      </c>
      <c r="F22" s="586">
        <f>SUM(F8:F21)</f>
        <v>460539016.09141302</v>
      </c>
      <c r="G22" s="586">
        <f>SUM(G8:G21)</f>
        <v>460539016.09141302</v>
      </c>
      <c r="H22" s="587">
        <f t="shared" si="0"/>
        <v>0.69698579458792753</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K27"/>
  <sheetViews>
    <sheetView zoomScale="80" zoomScaleNormal="80" workbookViewId="0">
      <pane xSplit="2" ySplit="6" topLeftCell="C7" activePane="bottomRight" state="frozen"/>
      <selection pane="topRight"/>
      <selection pane="bottomLeft"/>
      <selection pane="bottomRight" activeCell="C7" sqref="C7"/>
    </sheetView>
  </sheetViews>
  <sheetFormatPr defaultColWidth="9.21875" defaultRowHeight="13.8"/>
  <cols>
    <col min="1" max="1" width="10.5546875" style="111" bestFit="1" customWidth="1"/>
    <col min="2" max="2" width="104.21875" style="111" customWidth="1"/>
    <col min="3" max="11" width="12.77734375" style="111" customWidth="1"/>
    <col min="12" max="16384" width="9.21875" style="111"/>
  </cols>
  <sheetData>
    <row r="1" spans="1:11">
      <c r="A1" s="565" t="s">
        <v>680</v>
      </c>
      <c r="B1" s="567" t="str">
        <f>'Info '!C2</f>
        <v>Crystal</v>
      </c>
    </row>
    <row r="2" spans="1:11">
      <c r="A2" s="566" t="s">
        <v>31</v>
      </c>
      <c r="B2" s="568">
        <f>'1. key ratios '!B2</f>
        <v>45930</v>
      </c>
    </row>
    <row r="4" spans="1:11" ht="14.4" thickBot="1">
      <c r="A4" s="111" t="s">
        <v>132</v>
      </c>
      <c r="B4" s="166" t="s">
        <v>216</v>
      </c>
    </row>
    <row r="5" spans="1:11" ht="30" customHeight="1">
      <c r="A5" s="734"/>
      <c r="B5" s="735"/>
      <c r="C5" s="736" t="s">
        <v>261</v>
      </c>
      <c r="D5" s="736"/>
      <c r="E5" s="736"/>
      <c r="F5" s="736" t="s">
        <v>262</v>
      </c>
      <c r="G5" s="736"/>
      <c r="H5" s="736"/>
      <c r="I5" s="736" t="s">
        <v>263</v>
      </c>
      <c r="J5" s="736"/>
      <c r="K5" s="737"/>
    </row>
    <row r="6" spans="1:11">
      <c r="A6" s="145"/>
      <c r="B6" s="146"/>
      <c r="C6" s="407" t="s">
        <v>32</v>
      </c>
      <c r="D6" s="407" t="s">
        <v>33</v>
      </c>
      <c r="E6" s="407" t="s">
        <v>34</v>
      </c>
      <c r="F6" s="407" t="s">
        <v>32</v>
      </c>
      <c r="G6" s="407" t="s">
        <v>33</v>
      </c>
      <c r="H6" s="407" t="s">
        <v>34</v>
      </c>
      <c r="I6" s="407" t="s">
        <v>32</v>
      </c>
      <c r="J6" s="407" t="s">
        <v>33</v>
      </c>
      <c r="K6" s="407" t="s">
        <v>34</v>
      </c>
    </row>
    <row r="7" spans="1:11">
      <c r="A7" s="147" t="s">
        <v>219</v>
      </c>
      <c r="B7" s="148"/>
      <c r="C7" s="148"/>
      <c r="D7" s="148"/>
      <c r="E7" s="148"/>
      <c r="F7" s="148"/>
      <c r="G7" s="148"/>
      <c r="H7" s="148"/>
      <c r="I7" s="148"/>
      <c r="J7" s="148"/>
      <c r="K7" s="149"/>
    </row>
    <row r="8" spans="1:11">
      <c r="A8" s="150">
        <v>1</v>
      </c>
      <c r="B8" s="151" t="s">
        <v>217</v>
      </c>
      <c r="C8" s="408"/>
      <c r="D8" s="408"/>
      <c r="E8" s="408"/>
      <c r="F8" s="409">
        <v>22330486.393476073</v>
      </c>
      <c r="G8" s="409">
        <v>16398075.078267291</v>
      </c>
      <c r="H8" s="410">
        <f>SUM(F8:G8)</f>
        <v>38728561.47174336</v>
      </c>
      <c r="I8" s="409">
        <v>20018878.313476071</v>
      </c>
      <c r="J8" s="409">
        <v>11264592.101500621</v>
      </c>
      <c r="K8" s="411">
        <f>SUM(I8:J8)</f>
        <v>31283470.414976694</v>
      </c>
    </row>
    <row r="9" spans="1:11">
      <c r="A9" s="147" t="s">
        <v>220</v>
      </c>
      <c r="B9" s="148"/>
      <c r="C9" s="148"/>
      <c r="D9" s="148"/>
      <c r="E9" s="148"/>
      <c r="F9" s="148"/>
      <c r="G9" s="148"/>
      <c r="H9" s="148"/>
      <c r="I9" s="148"/>
      <c r="J9" s="148"/>
      <c r="K9" s="149"/>
    </row>
    <row r="10" spans="1:11">
      <c r="A10" s="153">
        <v>2</v>
      </c>
      <c r="B10" s="154" t="s">
        <v>228</v>
      </c>
      <c r="C10" s="412">
        <v>27141352.84</v>
      </c>
      <c r="D10" s="409">
        <v>17979396.763233334</v>
      </c>
      <c r="E10" s="410">
        <f>SUM(C10:D10)</f>
        <v>45120749.603233337</v>
      </c>
      <c r="F10" s="409">
        <v>4022313.6024666666</v>
      </c>
      <c r="G10" s="409">
        <v>2228797.9483536663</v>
      </c>
      <c r="H10" s="410">
        <f>SUM(F10:G10)</f>
        <v>6251111.550820333</v>
      </c>
      <c r="I10" s="409">
        <v>768455.13549999997</v>
      </c>
      <c r="J10" s="409">
        <v>393801.97861833335</v>
      </c>
      <c r="K10" s="411">
        <f>SUM(I10:J10)</f>
        <v>1162257.1141183334</v>
      </c>
    </row>
    <row r="11" spans="1:11">
      <c r="A11" s="153">
        <v>3</v>
      </c>
      <c r="B11" s="154" t="s">
        <v>222</v>
      </c>
      <c r="C11" s="412">
        <v>208883493.98000002</v>
      </c>
      <c r="D11" s="409">
        <v>256512154.52419999</v>
      </c>
      <c r="E11" s="410">
        <f t="shared" ref="E11:E20" si="0">SUM(C11:D11)</f>
        <v>465395648.50419998</v>
      </c>
      <c r="F11" s="409">
        <v>20111265.080000002</v>
      </c>
      <c r="G11" s="409">
        <v>2627706.0800916664</v>
      </c>
      <c r="H11" s="410">
        <f t="shared" ref="H11:H15" si="1">SUM(F11:G11)</f>
        <v>22738971.160091668</v>
      </c>
      <c r="I11" s="409">
        <v>20106636.334999997</v>
      </c>
      <c r="J11" s="409">
        <v>2627632.8828166663</v>
      </c>
      <c r="K11" s="411">
        <f t="shared" ref="K11:K15" si="2">SUM(I11:J11)</f>
        <v>22734269.217816662</v>
      </c>
    </row>
    <row r="12" spans="1:11">
      <c r="A12" s="153">
        <v>4</v>
      </c>
      <c r="B12" s="154" t="s">
        <v>223</v>
      </c>
      <c r="C12" s="412">
        <v>0</v>
      </c>
      <c r="D12" s="409">
        <v>0</v>
      </c>
      <c r="E12" s="410">
        <f t="shared" si="0"/>
        <v>0</v>
      </c>
      <c r="F12" s="409">
        <v>0</v>
      </c>
      <c r="G12" s="409">
        <v>0</v>
      </c>
      <c r="H12" s="410">
        <f t="shared" si="1"/>
        <v>0</v>
      </c>
      <c r="I12" s="409">
        <v>0</v>
      </c>
      <c r="J12" s="409">
        <v>0</v>
      </c>
      <c r="K12" s="411">
        <f t="shared" si="2"/>
        <v>0</v>
      </c>
    </row>
    <row r="13" spans="1:11">
      <c r="A13" s="153">
        <v>5</v>
      </c>
      <c r="B13" s="154" t="s">
        <v>231</v>
      </c>
      <c r="C13" s="412">
        <v>22016477.8303</v>
      </c>
      <c r="D13" s="409">
        <v>44613.751299999996</v>
      </c>
      <c r="E13" s="410">
        <f t="shared" si="0"/>
        <v>22061091.581599999</v>
      </c>
      <c r="F13" s="409">
        <v>444066.79946666677</v>
      </c>
      <c r="G13" s="409">
        <v>8913.0981133333335</v>
      </c>
      <c r="H13" s="410">
        <f t="shared" si="1"/>
        <v>452979.89758000011</v>
      </c>
      <c r="I13" s="409">
        <v>112786.91736666668</v>
      </c>
      <c r="J13" s="409">
        <v>2228.2745283333334</v>
      </c>
      <c r="K13" s="411">
        <f t="shared" si="2"/>
        <v>115015.19189500001</v>
      </c>
    </row>
    <row r="14" spans="1:11">
      <c r="A14" s="153">
        <v>6</v>
      </c>
      <c r="B14" s="154" t="s">
        <v>258</v>
      </c>
      <c r="C14" s="412">
        <v>0</v>
      </c>
      <c r="D14" s="409">
        <v>0</v>
      </c>
      <c r="E14" s="410">
        <f t="shared" si="0"/>
        <v>0</v>
      </c>
      <c r="F14" s="409">
        <v>0</v>
      </c>
      <c r="G14" s="409">
        <v>0</v>
      </c>
      <c r="H14" s="410">
        <f t="shared" si="1"/>
        <v>0</v>
      </c>
      <c r="I14" s="409">
        <v>0</v>
      </c>
      <c r="J14" s="409">
        <v>0</v>
      </c>
      <c r="K14" s="411">
        <f t="shared" si="2"/>
        <v>0</v>
      </c>
    </row>
    <row r="15" spans="1:11">
      <c r="A15" s="153">
        <v>7</v>
      </c>
      <c r="B15" s="154" t="s">
        <v>259</v>
      </c>
      <c r="C15" s="412">
        <v>1266535.2133333331</v>
      </c>
      <c r="D15" s="409">
        <v>456.14109999999999</v>
      </c>
      <c r="E15" s="410">
        <f t="shared" si="0"/>
        <v>1266991.354433333</v>
      </c>
      <c r="F15" s="409">
        <v>417026.11000000004</v>
      </c>
      <c r="G15" s="409">
        <v>456.14109999999999</v>
      </c>
      <c r="H15" s="410">
        <f t="shared" si="1"/>
        <v>417482.25110000005</v>
      </c>
      <c r="I15" s="409">
        <v>417026.11000000004</v>
      </c>
      <c r="J15" s="409">
        <v>456.14109999999999</v>
      </c>
      <c r="K15" s="411">
        <f t="shared" si="2"/>
        <v>417482.25110000005</v>
      </c>
    </row>
    <row r="16" spans="1:11">
      <c r="A16" s="153">
        <v>8</v>
      </c>
      <c r="B16" s="155" t="s">
        <v>224</v>
      </c>
      <c r="C16" s="413">
        <f>SUM(C10:C15)</f>
        <v>259307859.86363336</v>
      </c>
      <c r="D16" s="410">
        <f t="shared" ref="D16:K16" si="3">SUM(D10:D15)</f>
        <v>274536621.17983329</v>
      </c>
      <c r="E16" s="410">
        <f t="shared" si="3"/>
        <v>533844481.04346669</v>
      </c>
      <c r="F16" s="410">
        <f t="shared" si="3"/>
        <v>24994671.591933332</v>
      </c>
      <c r="G16" s="410">
        <f t="shared" si="3"/>
        <v>4865873.2676586658</v>
      </c>
      <c r="H16" s="410">
        <f t="shared" si="3"/>
        <v>29860544.859592002</v>
      </c>
      <c r="I16" s="410">
        <f t="shared" si="3"/>
        <v>21404904.49786666</v>
      </c>
      <c r="J16" s="410">
        <f t="shared" si="3"/>
        <v>3024119.2770633334</v>
      </c>
      <c r="K16" s="411">
        <f t="shared" si="3"/>
        <v>24429023.774929997</v>
      </c>
    </row>
    <row r="17" spans="1:11">
      <c r="A17" s="147" t="s">
        <v>221</v>
      </c>
      <c r="B17" s="148"/>
      <c r="C17" s="148"/>
      <c r="D17" s="148"/>
      <c r="E17" s="148"/>
      <c r="F17" s="148"/>
      <c r="G17" s="148"/>
      <c r="H17" s="148"/>
      <c r="I17" s="148"/>
      <c r="J17" s="148"/>
      <c r="K17" s="149"/>
    </row>
    <row r="18" spans="1:11">
      <c r="A18" s="153">
        <v>9</v>
      </c>
      <c r="B18" s="154" t="s">
        <v>227</v>
      </c>
      <c r="C18" s="412">
        <v>0</v>
      </c>
      <c r="D18" s="409">
        <v>0</v>
      </c>
      <c r="E18" s="410">
        <f t="shared" si="0"/>
        <v>0</v>
      </c>
      <c r="F18" s="409">
        <v>0</v>
      </c>
      <c r="G18" s="409">
        <v>0</v>
      </c>
      <c r="H18" s="410">
        <f t="shared" ref="H18:H20" si="4">SUM(F18:G18)</f>
        <v>0</v>
      </c>
      <c r="I18" s="409">
        <v>0</v>
      </c>
      <c r="J18" s="409">
        <v>0</v>
      </c>
      <c r="K18" s="414">
        <f t="shared" ref="K18:K20" si="5">SUM(I18:J18)</f>
        <v>0</v>
      </c>
    </row>
    <row r="19" spans="1:11">
      <c r="A19" s="153">
        <v>10</v>
      </c>
      <c r="B19" s="154" t="s">
        <v>260</v>
      </c>
      <c r="C19" s="412">
        <v>529102302.20003533</v>
      </c>
      <c r="D19" s="409">
        <v>1034289.3751666662</v>
      </c>
      <c r="E19" s="410">
        <f t="shared" si="0"/>
        <v>530136591.57520199</v>
      </c>
      <c r="F19" s="409">
        <v>24616673.656246673</v>
      </c>
      <c r="G19" s="409">
        <v>7734.0146833333338</v>
      </c>
      <c r="H19" s="410">
        <f t="shared" si="4"/>
        <v>24624407.670930006</v>
      </c>
      <c r="I19" s="409">
        <v>26928281.736246675</v>
      </c>
      <c r="J19" s="409">
        <v>5141216.9914499996</v>
      </c>
      <c r="K19" s="414">
        <f t="shared" si="5"/>
        <v>32069498.727696676</v>
      </c>
    </row>
    <row r="20" spans="1:11">
      <c r="A20" s="153">
        <v>11</v>
      </c>
      <c r="B20" s="154" t="s">
        <v>226</v>
      </c>
      <c r="C20" s="412">
        <v>1400643.0966666669</v>
      </c>
      <c r="D20" s="409">
        <v>62801.839733333334</v>
      </c>
      <c r="E20" s="410">
        <f t="shared" si="0"/>
        <v>1463444.9364000002</v>
      </c>
      <c r="F20" s="409">
        <v>6734.81</v>
      </c>
      <c r="G20" s="409">
        <v>12099.418666666666</v>
      </c>
      <c r="H20" s="410">
        <f t="shared" si="4"/>
        <v>18834.228666666666</v>
      </c>
      <c r="I20" s="409">
        <v>6734.81</v>
      </c>
      <c r="J20" s="409">
        <v>12099.418666666666</v>
      </c>
      <c r="K20" s="414">
        <f t="shared" si="5"/>
        <v>18834.228666666666</v>
      </c>
    </row>
    <row r="21" spans="1:11" ht="14.4" thickBot="1">
      <c r="A21" s="156">
        <v>12</v>
      </c>
      <c r="B21" s="157" t="s">
        <v>225</v>
      </c>
      <c r="C21" s="415">
        <f>SUM(C18:C20)</f>
        <v>530502945.29670203</v>
      </c>
      <c r="D21" s="416">
        <f t="shared" ref="D21:K21" si="6">SUM(D18:D20)</f>
        <v>1097091.2148999996</v>
      </c>
      <c r="E21" s="415">
        <f t="shared" si="6"/>
        <v>531600036.51160198</v>
      </c>
      <c r="F21" s="416">
        <f t="shared" si="6"/>
        <v>24623408.466246672</v>
      </c>
      <c r="G21" s="416">
        <f t="shared" si="6"/>
        <v>19833.433349999999</v>
      </c>
      <c r="H21" s="416">
        <f t="shared" si="6"/>
        <v>24643241.899596673</v>
      </c>
      <c r="I21" s="416">
        <f t="shared" si="6"/>
        <v>26935016.546246674</v>
      </c>
      <c r="J21" s="416">
        <f t="shared" si="6"/>
        <v>5153316.410116666</v>
      </c>
      <c r="K21" s="417">
        <f t="shared" si="6"/>
        <v>32088332.956363343</v>
      </c>
    </row>
    <row r="22" spans="1:11" ht="38.25" customHeight="1" thickBot="1">
      <c r="A22" s="158"/>
      <c r="B22" s="159"/>
      <c r="C22" s="159"/>
      <c r="D22" s="159"/>
      <c r="E22" s="159"/>
      <c r="F22" s="738" t="s">
        <v>754</v>
      </c>
      <c r="G22" s="736"/>
      <c r="H22" s="736"/>
      <c r="I22" s="738" t="s">
        <v>755</v>
      </c>
      <c r="J22" s="736"/>
      <c r="K22" s="737"/>
    </row>
    <row r="23" spans="1:11">
      <c r="A23" s="160">
        <v>13</v>
      </c>
      <c r="B23" s="161" t="s">
        <v>217</v>
      </c>
      <c r="C23" s="418"/>
      <c r="D23" s="418"/>
      <c r="E23" s="418"/>
      <c r="F23" s="419">
        <f>F8</f>
        <v>22330486.393476073</v>
      </c>
      <c r="G23" s="419">
        <f>G8</f>
        <v>16398075.078267291</v>
      </c>
      <c r="H23" s="419">
        <f t="shared" ref="H23" si="7">SUM(F23:G23)</f>
        <v>38728561.47174336</v>
      </c>
      <c r="I23" s="419">
        <f>I8</f>
        <v>20018878.313476071</v>
      </c>
      <c r="J23" s="419">
        <f>J8</f>
        <v>11264592.101500621</v>
      </c>
      <c r="K23" s="420">
        <f t="shared" ref="K23" si="8">SUM(I23:J23)</f>
        <v>31283470.414976694</v>
      </c>
    </row>
    <row r="24" spans="1:11" ht="14.4" thickBot="1">
      <c r="A24" s="162">
        <v>14</v>
      </c>
      <c r="B24" s="163" t="s">
        <v>229</v>
      </c>
      <c r="C24" s="421"/>
      <c r="D24" s="422"/>
      <c r="E24" s="423"/>
      <c r="F24" s="424">
        <f t="shared" ref="F24:K24" si="9">MAX(F16-F21,F16*0.25)</f>
        <v>6248667.8979833331</v>
      </c>
      <c r="G24" s="424">
        <f t="shared" si="9"/>
        <v>4846039.8343086662</v>
      </c>
      <c r="H24" s="424">
        <f t="shared" si="9"/>
        <v>7465136.2148980005</v>
      </c>
      <c r="I24" s="424">
        <f t="shared" si="9"/>
        <v>5351226.1244666651</v>
      </c>
      <c r="J24" s="424">
        <f t="shared" si="9"/>
        <v>756029.81926583336</v>
      </c>
      <c r="K24" s="425">
        <f t="shared" si="9"/>
        <v>6107255.9437324991</v>
      </c>
    </row>
    <row r="25" spans="1:11" ht="14.4" thickBot="1">
      <c r="A25" s="164">
        <v>15</v>
      </c>
      <c r="B25" s="165" t="s">
        <v>230</v>
      </c>
      <c r="C25" s="426"/>
      <c r="D25" s="426"/>
      <c r="E25" s="426"/>
      <c r="F25" s="584">
        <f>F23/F24</f>
        <v>3.5736394953367441</v>
      </c>
      <c r="G25" s="584">
        <f t="shared" ref="G25:H25" si="10">G23/G24</f>
        <v>3.3838093864134802</v>
      </c>
      <c r="H25" s="584">
        <f t="shared" si="10"/>
        <v>5.1879242865593884</v>
      </c>
      <c r="I25" s="584">
        <f>I23/I24</f>
        <v>3.7409890458462489</v>
      </c>
      <c r="J25" s="584">
        <f t="shared" ref="J25:K25" si="11">J23/J24</f>
        <v>14.899666407919543</v>
      </c>
      <c r="K25" s="585">
        <f t="shared" si="11"/>
        <v>5.1223447491309075</v>
      </c>
    </row>
    <row r="27" spans="1:11" ht="27.6">
      <c r="B27" s="143" t="s">
        <v>688</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Q34"/>
  <sheetViews>
    <sheetView zoomScale="70" zoomScaleNormal="70" workbookViewId="0">
      <pane xSplit="2" ySplit="9" topLeftCell="C10" activePane="bottomRight" state="frozen"/>
      <selection pane="topRight" activeCell="C1" sqref="C1"/>
      <selection pane="bottomLeft" activeCell="A10" sqref="A10"/>
      <selection pane="bottomRight" activeCell="C10" sqref="C10"/>
    </sheetView>
  </sheetViews>
  <sheetFormatPr defaultColWidth="9.21875" defaultRowHeight="13.2"/>
  <cols>
    <col min="1" max="1" width="11.109375" style="4" bestFit="1" customWidth="1"/>
    <col min="2" max="2" width="95" style="4" customWidth="1"/>
    <col min="3" max="3" width="13.5546875" style="4" bestFit="1" customWidth="1"/>
    <col min="4" max="4" width="13.109375" style="4" bestFit="1" customWidth="1"/>
    <col min="5" max="5" width="15.6640625" style="4" bestFit="1" customWidth="1"/>
    <col min="6" max="6" width="12.6640625" style="4" bestFit="1" customWidth="1"/>
    <col min="7" max="7" width="11.33203125" style="4" bestFit="1" customWidth="1"/>
    <col min="8" max="8" width="11.6640625" style="4" bestFit="1" customWidth="1"/>
    <col min="9" max="9" width="12.21875" style="4" bestFit="1" customWidth="1"/>
    <col min="10" max="14" width="5.21875" style="4" bestFit="1" customWidth="1"/>
    <col min="15" max="15" width="11.33203125" style="23" bestFit="1" customWidth="1"/>
    <col min="16" max="16" width="6.33203125" style="23" bestFit="1" customWidth="1"/>
    <col min="17" max="17" width="38.6640625" style="23" bestFit="1" customWidth="1"/>
    <col min="18" max="16384" width="9.21875" style="23"/>
  </cols>
  <sheetData>
    <row r="1" spans="1:17">
      <c r="A1" s="562" t="s">
        <v>680</v>
      </c>
      <c r="B1" s="564" t="str">
        <f>'Info '!C2</f>
        <v>Crystal</v>
      </c>
    </row>
    <row r="2" spans="1:17" ht="14.25" customHeight="1">
      <c r="A2" s="563" t="s">
        <v>641</v>
      </c>
      <c r="B2" s="569">
        <f>'1. key ratios '!B2</f>
        <v>45930</v>
      </c>
    </row>
    <row r="3" spans="1:17" ht="14.25" customHeight="1">
      <c r="B3" s="23"/>
      <c r="C3" s="23"/>
      <c r="D3" s="23"/>
      <c r="E3" s="23"/>
      <c r="F3" s="23"/>
      <c r="G3" s="23"/>
      <c r="H3" s="23"/>
      <c r="I3" s="23"/>
      <c r="J3" s="23"/>
      <c r="K3" s="23"/>
      <c r="L3" s="23"/>
      <c r="M3" s="23"/>
      <c r="N3" s="23"/>
    </row>
    <row r="4" spans="1:17" ht="13.8">
      <c r="B4" s="255" t="s">
        <v>642</v>
      </c>
      <c r="C4" s="23"/>
      <c r="D4" s="23"/>
      <c r="E4" s="23"/>
      <c r="F4" s="23"/>
      <c r="G4" s="23"/>
      <c r="H4" s="23"/>
      <c r="I4" s="23"/>
      <c r="J4" s="23"/>
      <c r="K4" s="23"/>
      <c r="L4" s="23"/>
      <c r="M4" s="23"/>
      <c r="N4" s="23"/>
    </row>
    <row r="5" spans="1:17" ht="55.2">
      <c r="B5" s="256" t="s">
        <v>643</v>
      </c>
      <c r="C5" s="257" t="s">
        <v>644</v>
      </c>
      <c r="D5" s="257" t="s">
        <v>645</v>
      </c>
      <c r="E5" s="257" t="s">
        <v>646</v>
      </c>
      <c r="F5" s="257" t="s">
        <v>647</v>
      </c>
      <c r="G5" s="257" t="s">
        <v>648</v>
      </c>
      <c r="H5" s="257" t="s">
        <v>692</v>
      </c>
      <c r="I5" s="258" t="s">
        <v>649</v>
      </c>
      <c r="J5" s="259">
        <v>0.02</v>
      </c>
      <c r="K5" s="259">
        <v>0.2</v>
      </c>
      <c r="L5" s="259">
        <v>0.35</v>
      </c>
      <c r="M5" s="259">
        <v>0.5</v>
      </c>
      <c r="N5" s="259">
        <v>0.75</v>
      </c>
      <c r="O5" s="259">
        <v>1</v>
      </c>
      <c r="P5" s="259">
        <v>1.5</v>
      </c>
      <c r="Q5" s="260" t="s">
        <v>650</v>
      </c>
    </row>
    <row r="6" spans="1:17" ht="13.8">
      <c r="B6" s="261"/>
      <c r="C6" s="262">
        <f>IF(C7&gt;0,C7,IF(C8&gt;0,C8,IF(C9&gt;0,C9,0)))</f>
        <v>295539532.16799998</v>
      </c>
      <c r="D6" s="262">
        <f t="shared" ref="D6:G6" si="0">IF(D7&gt;0,D7,IF(D8&gt;0,D8,IF(D9&gt;0,D9,0)))</f>
        <v>0</v>
      </c>
      <c r="E6" s="262">
        <f t="shared" si="0"/>
        <v>0</v>
      </c>
      <c r="F6" s="262">
        <f t="shared" si="0"/>
        <v>781065.93613406969</v>
      </c>
      <c r="G6" s="262">
        <f t="shared" si="0"/>
        <v>4567302.5123407785</v>
      </c>
      <c r="H6" s="262"/>
      <c r="I6" s="262">
        <f t="shared" ref="I6:P6" si="1">IF(I7&gt;0,I7,IF(I8&gt;0,I8,IF(I9&gt;0,I9,0)))</f>
        <v>7487715.8278647875</v>
      </c>
      <c r="J6" s="262">
        <f t="shared" si="1"/>
        <v>0</v>
      </c>
      <c r="K6" s="262">
        <f t="shared" si="1"/>
        <v>0</v>
      </c>
      <c r="L6" s="262">
        <f t="shared" si="1"/>
        <v>0</v>
      </c>
      <c r="M6" s="262">
        <f t="shared" si="1"/>
        <v>0</v>
      </c>
      <c r="N6" s="262">
        <f t="shared" si="1"/>
        <v>0</v>
      </c>
      <c r="O6" s="262">
        <f t="shared" si="1"/>
        <v>7478179.9878005143</v>
      </c>
      <c r="P6" s="262">
        <f t="shared" si="1"/>
        <v>0</v>
      </c>
      <c r="Q6" s="262">
        <f t="shared" ref="Q6" si="2">IF(Q7&gt;0,Q7,IF(Q8&gt;0,Q8,IF(Q9&gt;0,Q9)))</f>
        <v>7478179.9878005143</v>
      </c>
    </row>
    <row r="7" spans="1:17" ht="13.8">
      <c r="B7" s="263" t="s">
        <v>651</v>
      </c>
      <c r="C7" s="427">
        <f>C11+C15+C19+C23+C27+C31</f>
        <v>295539532.16799998</v>
      </c>
      <c r="D7" s="427">
        <f t="shared" ref="D7:G9" si="3">D11+D15+D19+D23+D27+D31</f>
        <v>-9439982.4892282393</v>
      </c>
      <c r="E7" s="427">
        <f t="shared" si="3"/>
        <v>0</v>
      </c>
      <c r="F7" s="427">
        <f t="shared" si="3"/>
        <v>781065.93613406969</v>
      </c>
      <c r="G7" s="427">
        <f t="shared" si="3"/>
        <v>4567302.5123407785</v>
      </c>
      <c r="H7" s="580">
        <v>1.4</v>
      </c>
      <c r="I7" s="428">
        <f t="shared" ref="I7:I33" si="4">(F7+G7)*H7</f>
        <v>7487715.8278647875</v>
      </c>
      <c r="J7" s="427">
        <f>J11+J15+J19+J23+J27+J31</f>
        <v>0</v>
      </c>
      <c r="K7" s="427">
        <f t="shared" ref="J7:Q9" si="5">K11+K15+K19+K23+K27+K31</f>
        <v>0</v>
      </c>
      <c r="L7" s="427">
        <f t="shared" si="5"/>
        <v>0</v>
      </c>
      <c r="M7" s="427">
        <f t="shared" si="5"/>
        <v>0</v>
      </c>
      <c r="N7" s="427">
        <f t="shared" si="5"/>
        <v>0</v>
      </c>
      <c r="O7" s="427">
        <f t="shared" si="5"/>
        <v>7478179.9878005143</v>
      </c>
      <c r="P7" s="427">
        <f t="shared" si="5"/>
        <v>0</v>
      </c>
      <c r="Q7" s="427">
        <f>Q11+Q15+Q19+Q23+Q27+Q31</f>
        <v>7478179.9878005143</v>
      </c>
    </row>
    <row r="8" spans="1:17" ht="13.8">
      <c r="B8" s="263" t="s">
        <v>652</v>
      </c>
      <c r="C8" s="427">
        <f>C12+C16+C20+C24+C28+C32</f>
        <v>0</v>
      </c>
      <c r="D8" s="427">
        <f t="shared" si="3"/>
        <v>0</v>
      </c>
      <c r="E8" s="427">
        <f t="shared" si="3"/>
        <v>0</v>
      </c>
      <c r="F8" s="427">
        <f t="shared" si="3"/>
        <v>0</v>
      </c>
      <c r="G8" s="427">
        <f t="shared" si="3"/>
        <v>0</v>
      </c>
      <c r="H8" s="580">
        <v>1.4</v>
      </c>
      <c r="I8" s="428">
        <f t="shared" si="4"/>
        <v>0</v>
      </c>
      <c r="J8" s="427">
        <f t="shared" si="5"/>
        <v>0</v>
      </c>
      <c r="K8" s="427">
        <f t="shared" si="5"/>
        <v>0</v>
      </c>
      <c r="L8" s="427">
        <f t="shared" si="5"/>
        <v>0</v>
      </c>
      <c r="M8" s="427">
        <f t="shared" si="5"/>
        <v>0</v>
      </c>
      <c r="N8" s="427">
        <f t="shared" si="5"/>
        <v>0</v>
      </c>
      <c r="O8" s="427">
        <f t="shared" si="5"/>
        <v>0</v>
      </c>
      <c r="P8" s="427">
        <f t="shared" si="5"/>
        <v>0</v>
      </c>
      <c r="Q8" s="427">
        <f>Q12+Q16+Q20+Q24+Q28+Q32</f>
        <v>0</v>
      </c>
    </row>
    <row r="9" spans="1:17" ht="13.8">
      <c r="B9" s="263" t="s">
        <v>659</v>
      </c>
      <c r="C9" s="427">
        <f>C13+C17+C21+C25+C29+C33</f>
        <v>0</v>
      </c>
      <c r="D9" s="427">
        <f t="shared" si="3"/>
        <v>0</v>
      </c>
      <c r="E9" s="427">
        <f t="shared" si="3"/>
        <v>0</v>
      </c>
      <c r="F9" s="427">
        <f t="shared" si="3"/>
        <v>0</v>
      </c>
      <c r="G9" s="427">
        <f t="shared" si="3"/>
        <v>0</v>
      </c>
      <c r="H9" s="580">
        <v>1.4</v>
      </c>
      <c r="I9" s="428">
        <f t="shared" si="4"/>
        <v>0</v>
      </c>
      <c r="J9" s="427">
        <f t="shared" si="5"/>
        <v>0</v>
      </c>
      <c r="K9" s="427">
        <f t="shared" si="5"/>
        <v>0</v>
      </c>
      <c r="L9" s="427">
        <f t="shared" si="5"/>
        <v>0</v>
      </c>
      <c r="M9" s="427">
        <f t="shared" si="5"/>
        <v>0</v>
      </c>
      <c r="N9" s="427">
        <f t="shared" si="5"/>
        <v>0</v>
      </c>
      <c r="O9" s="427">
        <f t="shared" si="5"/>
        <v>0</v>
      </c>
      <c r="P9" s="427">
        <f t="shared" si="5"/>
        <v>0</v>
      </c>
      <c r="Q9" s="427">
        <f t="shared" si="5"/>
        <v>0</v>
      </c>
    </row>
    <row r="10" spans="1:17" ht="13.8">
      <c r="B10" s="264" t="s">
        <v>653</v>
      </c>
      <c r="C10" s="429"/>
      <c r="D10" s="429"/>
      <c r="E10" s="429"/>
      <c r="F10" s="429"/>
      <c r="G10" s="429"/>
      <c r="H10" s="580">
        <v>1.4</v>
      </c>
      <c r="I10" s="428">
        <f t="shared" si="4"/>
        <v>0</v>
      </c>
      <c r="J10" s="429"/>
      <c r="K10" s="429"/>
      <c r="L10" s="429"/>
      <c r="M10" s="429"/>
      <c r="N10" s="429"/>
      <c r="O10" s="429"/>
      <c r="P10" s="429"/>
      <c r="Q10" s="427">
        <f>SUM(Q11:Q13)</f>
        <v>0</v>
      </c>
    </row>
    <row r="11" spans="1:17" ht="14.4">
      <c r="B11" s="266" t="s">
        <v>651</v>
      </c>
      <c r="C11" s="429"/>
      <c r="D11" s="429"/>
      <c r="E11" s="429"/>
      <c r="F11" s="429"/>
      <c r="G11" s="429"/>
      <c r="H11" s="580">
        <v>1.4</v>
      </c>
      <c r="I11" s="428">
        <f t="shared" si="4"/>
        <v>0</v>
      </c>
      <c r="J11" s="429"/>
      <c r="K11" s="429"/>
      <c r="L11" s="429"/>
      <c r="M11" s="429"/>
      <c r="N11" s="429"/>
      <c r="O11" s="429"/>
      <c r="P11" s="429"/>
      <c r="Q11" s="427">
        <f>SUMPRODUCT($J$5:$P$5,J11:P11)</f>
        <v>0</v>
      </c>
    </row>
    <row r="12" spans="1:17" ht="14.4">
      <c r="B12" s="266" t="s">
        <v>652</v>
      </c>
      <c r="C12" s="429"/>
      <c r="D12" s="429"/>
      <c r="E12" s="429"/>
      <c r="F12" s="429"/>
      <c r="G12" s="429"/>
      <c r="H12" s="580">
        <v>1.4</v>
      </c>
      <c r="I12" s="428">
        <f t="shared" si="4"/>
        <v>0</v>
      </c>
      <c r="J12" s="429"/>
      <c r="K12" s="429"/>
      <c r="L12" s="429"/>
      <c r="M12" s="429"/>
      <c r="N12" s="429"/>
      <c r="O12" s="429"/>
      <c r="P12" s="429"/>
      <c r="Q12" s="427">
        <f t="shared" ref="Q12:Q13" si="6">SUMPRODUCT($J$5:$P$5,J12:P12)</f>
        <v>0</v>
      </c>
    </row>
    <row r="13" spans="1:17" ht="14.4">
      <c r="B13" s="266" t="s">
        <v>659</v>
      </c>
      <c r="C13" s="429"/>
      <c r="D13" s="429"/>
      <c r="E13" s="429"/>
      <c r="F13" s="429"/>
      <c r="G13" s="429"/>
      <c r="H13" s="580">
        <v>1.4</v>
      </c>
      <c r="I13" s="428">
        <f t="shared" si="4"/>
        <v>0</v>
      </c>
      <c r="J13" s="429"/>
      <c r="K13" s="429"/>
      <c r="L13" s="429"/>
      <c r="M13" s="429"/>
      <c r="N13" s="429"/>
      <c r="O13" s="429"/>
      <c r="P13" s="429"/>
      <c r="Q13" s="427">
        <f t="shared" si="6"/>
        <v>0</v>
      </c>
    </row>
    <row r="14" spans="1:17" ht="13.8">
      <c r="B14" s="264" t="s">
        <v>654</v>
      </c>
      <c r="C14" s="429"/>
      <c r="D14" s="429"/>
      <c r="E14" s="429"/>
      <c r="F14" s="429"/>
      <c r="G14" s="429"/>
      <c r="H14" s="580">
        <v>1.4</v>
      </c>
      <c r="I14" s="428">
        <f t="shared" si="4"/>
        <v>0</v>
      </c>
      <c r="J14" s="429"/>
      <c r="K14" s="429"/>
      <c r="L14" s="429"/>
      <c r="M14" s="429"/>
      <c r="N14" s="429"/>
      <c r="O14" s="429"/>
      <c r="P14" s="429"/>
      <c r="Q14" s="427">
        <f>SUM(Q15:Q17)</f>
        <v>0</v>
      </c>
    </row>
    <row r="15" spans="1:17" ht="14.4">
      <c r="B15" s="266" t="s">
        <v>651</v>
      </c>
      <c r="C15" s="429"/>
      <c r="D15" s="429"/>
      <c r="E15" s="429"/>
      <c r="F15" s="429"/>
      <c r="G15" s="429"/>
      <c r="H15" s="580">
        <v>1.4</v>
      </c>
      <c r="I15" s="428">
        <f t="shared" si="4"/>
        <v>0</v>
      </c>
      <c r="J15" s="429"/>
      <c r="K15" s="429"/>
      <c r="L15" s="429"/>
      <c r="M15" s="429"/>
      <c r="N15" s="429"/>
      <c r="O15" s="429"/>
      <c r="P15" s="429"/>
      <c r="Q15" s="427">
        <f>SUMPRODUCT($J$5:$P$5,J15:P15)</f>
        <v>0</v>
      </c>
    </row>
    <row r="16" spans="1:17" ht="14.4">
      <c r="B16" s="266" t="s">
        <v>652</v>
      </c>
      <c r="C16" s="429"/>
      <c r="D16" s="429"/>
      <c r="E16" s="429"/>
      <c r="F16" s="429"/>
      <c r="G16" s="429"/>
      <c r="H16" s="580">
        <v>1.4</v>
      </c>
      <c r="I16" s="428">
        <f t="shared" si="4"/>
        <v>0</v>
      </c>
      <c r="J16" s="429"/>
      <c r="K16" s="429"/>
      <c r="L16" s="429"/>
      <c r="M16" s="429"/>
      <c r="N16" s="429"/>
      <c r="O16" s="429"/>
      <c r="P16" s="429"/>
      <c r="Q16" s="427">
        <f t="shared" ref="Q16:Q17" si="7">SUMPRODUCT($J$5:$P$5,J16:P16)</f>
        <v>0</v>
      </c>
    </row>
    <row r="17" spans="2:17" ht="14.4">
      <c r="B17" s="266" t="s">
        <v>659</v>
      </c>
      <c r="C17" s="429"/>
      <c r="D17" s="429"/>
      <c r="E17" s="429"/>
      <c r="F17" s="429"/>
      <c r="G17" s="429"/>
      <c r="H17" s="580">
        <v>1.4</v>
      </c>
      <c r="I17" s="428">
        <f t="shared" si="4"/>
        <v>0</v>
      </c>
      <c r="J17" s="429"/>
      <c r="K17" s="429"/>
      <c r="L17" s="429"/>
      <c r="M17" s="429"/>
      <c r="N17" s="429"/>
      <c r="O17" s="429"/>
      <c r="P17" s="429"/>
      <c r="Q17" s="427">
        <f t="shared" si="7"/>
        <v>0</v>
      </c>
    </row>
    <row r="18" spans="2:17" ht="13.8">
      <c r="B18" s="264" t="s">
        <v>655</v>
      </c>
      <c r="C18" s="429"/>
      <c r="D18" s="429"/>
      <c r="E18" s="429"/>
      <c r="F18" s="429"/>
      <c r="G18" s="429"/>
      <c r="H18" s="580">
        <v>1.4</v>
      </c>
      <c r="I18" s="428">
        <f t="shared" si="4"/>
        <v>0</v>
      </c>
      <c r="J18" s="429"/>
      <c r="K18" s="429"/>
      <c r="L18" s="429"/>
      <c r="M18" s="429"/>
      <c r="N18" s="429"/>
      <c r="O18" s="429"/>
      <c r="P18" s="429"/>
      <c r="Q18" s="427">
        <f>SUM(Q19:Q21)</f>
        <v>7478179.9878005143</v>
      </c>
    </row>
    <row r="19" spans="2:17" ht="14.4">
      <c r="B19" s="266" t="s">
        <v>651</v>
      </c>
      <c r="C19" s="429">
        <v>295539532.16799998</v>
      </c>
      <c r="D19" s="429">
        <v>-9439982.4892282393</v>
      </c>
      <c r="E19" s="429">
        <v>0</v>
      </c>
      <c r="F19" s="429">
        <v>781065.93613406969</v>
      </c>
      <c r="G19" s="429">
        <v>4567302.5123407785</v>
      </c>
      <c r="H19" s="580">
        <v>1.4</v>
      </c>
      <c r="I19" s="428">
        <f t="shared" si="4"/>
        <v>7487715.8278647875</v>
      </c>
      <c r="J19" s="429"/>
      <c r="K19" s="429"/>
      <c r="L19" s="429"/>
      <c r="M19" s="429"/>
      <c r="N19" s="429"/>
      <c r="O19" s="429">
        <v>7478179.9878005143</v>
      </c>
      <c r="P19" s="429"/>
      <c r="Q19" s="427">
        <f t="shared" ref="Q19" si="8">SUMPRODUCT($J$5:$P$5,J19:P19)</f>
        <v>7478179.9878005143</v>
      </c>
    </row>
    <row r="20" spans="2:17" ht="14.4">
      <c r="B20" s="266" t="s">
        <v>652</v>
      </c>
      <c r="C20" s="429"/>
      <c r="D20" s="429"/>
      <c r="E20" s="429"/>
      <c r="F20" s="429"/>
      <c r="G20" s="429"/>
      <c r="H20" s="580">
        <v>1.4</v>
      </c>
      <c r="I20" s="428">
        <f t="shared" si="4"/>
        <v>0</v>
      </c>
      <c r="J20" s="429"/>
      <c r="K20" s="429"/>
      <c r="L20" s="429"/>
      <c r="M20" s="429"/>
      <c r="N20" s="429"/>
      <c r="O20" s="429"/>
      <c r="P20" s="429"/>
      <c r="Q20" s="427">
        <f t="shared" ref="Q20:Q21" si="9">SUMPRODUCT($J$5:$P$5,J20:P20)</f>
        <v>0</v>
      </c>
    </row>
    <row r="21" spans="2:17" ht="14.4">
      <c r="B21" s="266" t="s">
        <v>659</v>
      </c>
      <c r="C21" s="429"/>
      <c r="D21" s="429"/>
      <c r="E21" s="429"/>
      <c r="F21" s="429"/>
      <c r="G21" s="429"/>
      <c r="H21" s="580">
        <v>1.4</v>
      </c>
      <c r="I21" s="428">
        <f t="shared" si="4"/>
        <v>0</v>
      </c>
      <c r="J21" s="429"/>
      <c r="K21" s="429"/>
      <c r="L21" s="429"/>
      <c r="M21" s="429"/>
      <c r="N21" s="429"/>
      <c r="O21" s="429"/>
      <c r="P21" s="429"/>
      <c r="Q21" s="427">
        <f t="shared" si="9"/>
        <v>0</v>
      </c>
    </row>
    <row r="22" spans="2:17" ht="13.8">
      <c r="B22" s="264" t="s">
        <v>656</v>
      </c>
      <c r="C22" s="429"/>
      <c r="D22" s="429"/>
      <c r="E22" s="429"/>
      <c r="F22" s="429"/>
      <c r="G22" s="429"/>
      <c r="H22" s="580">
        <v>1.4</v>
      </c>
      <c r="I22" s="428">
        <f t="shared" si="4"/>
        <v>0</v>
      </c>
      <c r="J22" s="429"/>
      <c r="K22" s="429"/>
      <c r="L22" s="429"/>
      <c r="M22" s="429"/>
      <c r="N22" s="429"/>
      <c r="O22" s="429"/>
      <c r="P22" s="429"/>
      <c r="Q22" s="427">
        <f>SUM(Q23:Q25)</f>
        <v>0</v>
      </c>
    </row>
    <row r="23" spans="2:17" ht="14.4">
      <c r="B23" s="266" t="s">
        <v>651</v>
      </c>
      <c r="C23" s="429"/>
      <c r="D23" s="429"/>
      <c r="E23" s="429"/>
      <c r="F23" s="429"/>
      <c r="G23" s="429"/>
      <c r="H23" s="580">
        <v>1.4</v>
      </c>
      <c r="I23" s="428">
        <f t="shared" si="4"/>
        <v>0</v>
      </c>
      <c r="J23" s="429"/>
      <c r="K23" s="429"/>
      <c r="L23" s="429"/>
      <c r="M23" s="429"/>
      <c r="N23" s="429"/>
      <c r="O23" s="429"/>
      <c r="P23" s="429"/>
      <c r="Q23" s="427">
        <f>SUMPRODUCT($J$5:$P$5,J23:P23)</f>
        <v>0</v>
      </c>
    </row>
    <row r="24" spans="2:17" ht="14.4">
      <c r="B24" s="266" t="s">
        <v>652</v>
      </c>
      <c r="C24" s="429"/>
      <c r="D24" s="429"/>
      <c r="E24" s="429"/>
      <c r="F24" s="429"/>
      <c r="G24" s="429"/>
      <c r="H24" s="580">
        <v>1.4</v>
      </c>
      <c r="I24" s="428">
        <f t="shared" si="4"/>
        <v>0</v>
      </c>
      <c r="J24" s="429"/>
      <c r="K24" s="429"/>
      <c r="L24" s="429"/>
      <c r="M24" s="429"/>
      <c r="N24" s="429"/>
      <c r="O24" s="429"/>
      <c r="P24" s="429"/>
      <c r="Q24" s="427">
        <f t="shared" ref="Q24:Q25" si="10">SUMPRODUCT($J$5:$P$5,J24:P24)</f>
        <v>0</v>
      </c>
    </row>
    <row r="25" spans="2:17" ht="14.4">
      <c r="B25" s="266" t="s">
        <v>659</v>
      </c>
      <c r="C25" s="429"/>
      <c r="D25" s="429"/>
      <c r="E25" s="429"/>
      <c r="F25" s="429"/>
      <c r="G25" s="429"/>
      <c r="H25" s="580">
        <v>1.4</v>
      </c>
      <c r="I25" s="428">
        <f t="shared" si="4"/>
        <v>0</v>
      </c>
      <c r="J25" s="429"/>
      <c r="K25" s="429"/>
      <c r="L25" s="429"/>
      <c r="M25" s="429"/>
      <c r="N25" s="429"/>
      <c r="O25" s="429"/>
      <c r="P25" s="429"/>
      <c r="Q25" s="427">
        <f t="shared" si="10"/>
        <v>0</v>
      </c>
    </row>
    <row r="26" spans="2:17" ht="13.8">
      <c r="B26" s="264" t="s">
        <v>657</v>
      </c>
      <c r="C26" s="429"/>
      <c r="D26" s="429"/>
      <c r="E26" s="429"/>
      <c r="F26" s="429"/>
      <c r="G26" s="429"/>
      <c r="H26" s="580">
        <v>1.4</v>
      </c>
      <c r="I26" s="428">
        <f t="shared" si="4"/>
        <v>0</v>
      </c>
      <c r="J26" s="429"/>
      <c r="K26" s="429"/>
      <c r="L26" s="429"/>
      <c r="M26" s="429"/>
      <c r="N26" s="429"/>
      <c r="O26" s="429"/>
      <c r="P26" s="429"/>
      <c r="Q26" s="427">
        <f>SUM(Q27:Q29)</f>
        <v>0</v>
      </c>
    </row>
    <row r="27" spans="2:17" ht="14.4">
      <c r="B27" s="266" t="s">
        <v>651</v>
      </c>
      <c r="C27" s="429"/>
      <c r="D27" s="429"/>
      <c r="E27" s="429"/>
      <c r="F27" s="429"/>
      <c r="G27" s="429"/>
      <c r="H27" s="580">
        <v>1.4</v>
      </c>
      <c r="I27" s="428">
        <f t="shared" si="4"/>
        <v>0</v>
      </c>
      <c r="J27" s="429"/>
      <c r="K27" s="429"/>
      <c r="L27" s="429"/>
      <c r="M27" s="429"/>
      <c r="N27" s="429"/>
      <c r="O27" s="429"/>
      <c r="P27" s="429"/>
      <c r="Q27" s="427">
        <f>SUMPRODUCT($J$5:$P$5,J27:P27)</f>
        <v>0</v>
      </c>
    </row>
    <row r="28" spans="2:17" ht="14.4">
      <c r="B28" s="266" t="s">
        <v>652</v>
      </c>
      <c r="C28" s="429"/>
      <c r="D28" s="429"/>
      <c r="E28" s="429"/>
      <c r="F28" s="429"/>
      <c r="G28" s="429"/>
      <c r="H28" s="580">
        <v>1.4</v>
      </c>
      <c r="I28" s="428">
        <f t="shared" si="4"/>
        <v>0</v>
      </c>
      <c r="J28" s="429"/>
      <c r="K28" s="429"/>
      <c r="L28" s="429"/>
      <c r="M28" s="429"/>
      <c r="N28" s="429"/>
      <c r="O28" s="429"/>
      <c r="P28" s="429"/>
      <c r="Q28" s="427">
        <f t="shared" ref="Q28:Q29" si="11">SUMPRODUCT($J$5:$P$5,J28:P28)</f>
        <v>0</v>
      </c>
    </row>
    <row r="29" spans="2:17" ht="14.4">
      <c r="B29" s="266" t="s">
        <v>659</v>
      </c>
      <c r="C29" s="429"/>
      <c r="D29" s="429"/>
      <c r="E29" s="429"/>
      <c r="F29" s="429"/>
      <c r="G29" s="429"/>
      <c r="H29" s="580">
        <v>1.4</v>
      </c>
      <c r="I29" s="428">
        <f t="shared" si="4"/>
        <v>0</v>
      </c>
      <c r="J29" s="429"/>
      <c r="K29" s="429"/>
      <c r="L29" s="429"/>
      <c r="M29" s="429"/>
      <c r="N29" s="429"/>
      <c r="O29" s="429"/>
      <c r="P29" s="429"/>
      <c r="Q29" s="427">
        <f t="shared" si="11"/>
        <v>0</v>
      </c>
    </row>
    <row r="30" spans="2:17" ht="13.8">
      <c r="B30" s="267" t="s">
        <v>658</v>
      </c>
      <c r="C30" s="429"/>
      <c r="D30" s="429"/>
      <c r="E30" s="429"/>
      <c r="F30" s="429"/>
      <c r="G30" s="429"/>
      <c r="H30" s="580">
        <v>1.4</v>
      </c>
      <c r="I30" s="428">
        <f t="shared" si="4"/>
        <v>0</v>
      </c>
      <c r="J30" s="429"/>
      <c r="K30" s="429"/>
      <c r="L30" s="429"/>
      <c r="M30" s="429"/>
      <c r="N30" s="429"/>
      <c r="O30" s="429"/>
      <c r="P30" s="429"/>
      <c r="Q30" s="427">
        <f>SUM(Q31:Q33)</f>
        <v>0</v>
      </c>
    </row>
    <row r="31" spans="2:17" ht="14.4">
      <c r="B31" s="266" t="s">
        <v>651</v>
      </c>
      <c r="C31" s="429"/>
      <c r="D31" s="429"/>
      <c r="E31" s="429"/>
      <c r="F31" s="429"/>
      <c r="G31" s="429"/>
      <c r="H31" s="580">
        <v>1.4</v>
      </c>
      <c r="I31" s="428">
        <f t="shared" si="4"/>
        <v>0</v>
      </c>
      <c r="J31" s="429"/>
      <c r="K31" s="429"/>
      <c r="L31" s="429"/>
      <c r="M31" s="429"/>
      <c r="N31" s="429"/>
      <c r="O31" s="429"/>
      <c r="P31" s="429"/>
      <c r="Q31" s="427">
        <f>SUMPRODUCT($J$5:$P$5,J31:P31)</f>
        <v>0</v>
      </c>
    </row>
    <row r="32" spans="2:17" ht="14.4">
      <c r="B32" s="266" t="s">
        <v>652</v>
      </c>
      <c r="C32" s="429"/>
      <c r="D32" s="429"/>
      <c r="E32" s="429"/>
      <c r="F32" s="429"/>
      <c r="G32" s="429"/>
      <c r="H32" s="580">
        <v>1.4</v>
      </c>
      <c r="I32" s="428">
        <f t="shared" si="4"/>
        <v>0</v>
      </c>
      <c r="J32" s="429"/>
      <c r="K32" s="429"/>
      <c r="L32" s="429"/>
      <c r="M32" s="429"/>
      <c r="N32" s="429"/>
      <c r="O32" s="429"/>
      <c r="P32" s="429"/>
      <c r="Q32" s="427">
        <f t="shared" ref="Q32:Q33" si="12">SUMPRODUCT($J$5:$P$5,J32:P32)</f>
        <v>0</v>
      </c>
    </row>
    <row r="33" spans="1:17" ht="14.4">
      <c r="B33" s="266" t="s">
        <v>659</v>
      </c>
      <c r="C33" s="429"/>
      <c r="D33" s="429"/>
      <c r="E33" s="429"/>
      <c r="F33" s="429"/>
      <c r="G33" s="429"/>
      <c r="H33" s="580">
        <v>1.4</v>
      </c>
      <c r="I33" s="428">
        <f t="shared" si="4"/>
        <v>0</v>
      </c>
      <c r="J33" s="429"/>
      <c r="K33" s="429"/>
      <c r="L33" s="429"/>
      <c r="M33" s="429"/>
      <c r="N33" s="429"/>
      <c r="O33" s="429"/>
      <c r="P33" s="429"/>
      <c r="Q33" s="427">
        <f t="shared" si="12"/>
        <v>0</v>
      </c>
    </row>
    <row r="34" spans="1:17" s="583" customFormat="1" ht="13.8">
      <c r="A34" s="563"/>
      <c r="B34" s="268" t="s">
        <v>62</v>
      </c>
      <c r="C34" s="430">
        <f>C6</f>
        <v>295539532.16799998</v>
      </c>
      <c r="D34" s="430">
        <f t="shared" ref="D34:G34" si="13">D6</f>
        <v>0</v>
      </c>
      <c r="E34" s="430">
        <f t="shared" si="13"/>
        <v>0</v>
      </c>
      <c r="F34" s="430">
        <f t="shared" si="13"/>
        <v>781065.93613406969</v>
      </c>
      <c r="G34" s="430">
        <f t="shared" si="13"/>
        <v>4567302.5123407785</v>
      </c>
      <c r="H34" s="581">
        <v>1.4</v>
      </c>
      <c r="I34" s="582">
        <f>(F34+G34)*H34</f>
        <v>7487715.8278647875</v>
      </c>
      <c r="J34" s="430">
        <f t="shared" ref="J34:Q34" si="14">J6</f>
        <v>0</v>
      </c>
      <c r="K34" s="430">
        <f t="shared" si="14"/>
        <v>0</v>
      </c>
      <c r="L34" s="430">
        <f t="shared" si="14"/>
        <v>0</v>
      </c>
      <c r="M34" s="430">
        <f t="shared" si="14"/>
        <v>0</v>
      </c>
      <c r="N34" s="430">
        <f t="shared" si="14"/>
        <v>0</v>
      </c>
      <c r="O34" s="430">
        <f t="shared" si="14"/>
        <v>7478179.9878005143</v>
      </c>
      <c r="P34" s="430">
        <f t="shared" si="14"/>
        <v>0</v>
      </c>
      <c r="Q34" s="430">
        <f t="shared" si="14"/>
        <v>7478179.9878005143</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C37"/>
  <sheetViews>
    <sheetView zoomScale="70" zoomScaleNormal="70" workbookViewId="0"/>
  </sheetViews>
  <sheetFormatPr defaultColWidth="8.77734375" defaultRowHeight="13.8"/>
  <cols>
    <col min="1" max="1" width="11.44140625" style="4" customWidth="1"/>
    <col min="2" max="2" width="76.77734375" style="32" customWidth="1"/>
    <col min="3" max="3" width="22.77734375" style="4" customWidth="1"/>
    <col min="4" max="16384" width="8.77734375" style="243"/>
  </cols>
  <sheetData>
    <row r="1" spans="1:3">
      <c r="A1" s="560" t="s">
        <v>680</v>
      </c>
      <c r="B1" s="552" t="str">
        <f>'Info '!C2</f>
        <v>Crystal</v>
      </c>
    </row>
    <row r="2" spans="1:3">
      <c r="A2" s="64" t="s">
        <v>31</v>
      </c>
      <c r="B2" s="553">
        <f>'1. key ratios '!B2</f>
        <v>45930</v>
      </c>
    </row>
    <row r="3" spans="1:3">
      <c r="B3" s="4"/>
    </row>
    <row r="4" spans="1:3">
      <c r="A4" s="4" t="s">
        <v>264</v>
      </c>
      <c r="B4" s="4" t="s">
        <v>265</v>
      </c>
    </row>
    <row r="5" spans="1:3">
      <c r="A5" s="269" t="s">
        <v>266</v>
      </c>
      <c r="B5" s="270"/>
      <c r="C5" s="271"/>
    </row>
    <row r="6" spans="1:3" ht="26.4">
      <c r="A6" s="272">
        <v>1</v>
      </c>
      <c r="B6" s="273" t="s">
        <v>671</v>
      </c>
      <c r="C6" s="274">
        <v>665371398.30276608</v>
      </c>
    </row>
    <row r="7" spans="1:3">
      <c r="A7" s="272">
        <v>2</v>
      </c>
      <c r="B7" s="273" t="s">
        <v>267</v>
      </c>
      <c r="C7" s="274">
        <v>-5202301.5999999996</v>
      </c>
    </row>
    <row r="8" spans="1:3" ht="26.4">
      <c r="A8" s="275">
        <v>3</v>
      </c>
      <c r="B8" s="276" t="s">
        <v>268</v>
      </c>
      <c r="C8" s="274">
        <f>C6+C7</f>
        <v>660169096.70276606</v>
      </c>
    </row>
    <row r="9" spans="1:3">
      <c r="A9" s="269" t="s">
        <v>269</v>
      </c>
      <c r="B9" s="270"/>
      <c r="C9" s="277"/>
    </row>
    <row r="10" spans="1:3" ht="25.8" customHeight="1">
      <c r="A10" s="272">
        <v>4</v>
      </c>
      <c r="B10" s="278" t="s">
        <v>693</v>
      </c>
      <c r="C10" s="274">
        <v>781065.93613406969</v>
      </c>
    </row>
    <row r="11" spans="1:3" ht="25.8" customHeight="1">
      <c r="A11" s="272">
        <v>5</v>
      </c>
      <c r="B11" s="279" t="s">
        <v>694</v>
      </c>
      <c r="C11" s="274">
        <v>4567302.5123407785</v>
      </c>
    </row>
    <row r="12" spans="1:3" ht="25.8" customHeight="1">
      <c r="A12" s="272">
        <v>6</v>
      </c>
      <c r="B12" s="279" t="s">
        <v>665</v>
      </c>
      <c r="C12" s="274">
        <v>7487715.8278647875</v>
      </c>
    </row>
    <row r="13" spans="1:3" ht="25.8" customHeight="1">
      <c r="A13" s="280">
        <v>7</v>
      </c>
      <c r="B13" s="278" t="s">
        <v>666</v>
      </c>
      <c r="C13" s="274">
        <v>0</v>
      </c>
    </row>
    <row r="14" spans="1:3" ht="25.8" customHeight="1">
      <c r="A14" s="275">
        <v>8</v>
      </c>
      <c r="B14" s="281" t="s">
        <v>270</v>
      </c>
      <c r="C14" s="282">
        <f>SUM(C12:C13)</f>
        <v>7487715.8278647875</v>
      </c>
    </row>
    <row r="15" spans="1:3">
      <c r="A15" s="269" t="s">
        <v>271</v>
      </c>
      <c r="B15" s="270"/>
      <c r="C15" s="277"/>
    </row>
    <row r="16" spans="1:3" ht="26.4">
      <c r="A16" s="280">
        <v>9</v>
      </c>
      <c r="B16" s="278" t="s">
        <v>272</v>
      </c>
      <c r="C16" s="274">
        <v>0</v>
      </c>
    </row>
    <row r="17" spans="1:3">
      <c r="A17" s="280">
        <v>10</v>
      </c>
      <c r="B17" s="278" t="s">
        <v>273</v>
      </c>
      <c r="C17" s="274">
        <v>0</v>
      </c>
    </row>
    <row r="18" spans="1:3">
      <c r="A18" s="280">
        <v>11</v>
      </c>
      <c r="B18" s="278" t="s">
        <v>274</v>
      </c>
      <c r="C18" s="274">
        <v>0</v>
      </c>
    </row>
    <row r="19" spans="1:3" ht="26.4">
      <c r="A19" s="280">
        <v>12</v>
      </c>
      <c r="B19" s="278" t="s">
        <v>275</v>
      </c>
      <c r="C19" s="274">
        <v>0</v>
      </c>
    </row>
    <row r="20" spans="1:3">
      <c r="A20" s="280">
        <v>14</v>
      </c>
      <c r="B20" s="278" t="s">
        <v>276</v>
      </c>
      <c r="C20" s="274">
        <v>0</v>
      </c>
    </row>
    <row r="21" spans="1:3">
      <c r="A21" s="280">
        <v>14</v>
      </c>
      <c r="B21" s="278" t="s">
        <v>277</v>
      </c>
      <c r="C21" s="274">
        <v>0</v>
      </c>
    </row>
    <row r="22" spans="1:3">
      <c r="A22" s="275">
        <v>15</v>
      </c>
      <c r="B22" s="281" t="s">
        <v>278</v>
      </c>
      <c r="C22" s="282">
        <f>SUM(C16:C21)</f>
        <v>0</v>
      </c>
    </row>
    <row r="23" spans="1:3">
      <c r="A23" s="269" t="s">
        <v>279</v>
      </c>
      <c r="B23" s="270"/>
      <c r="C23" s="277"/>
    </row>
    <row r="24" spans="1:3">
      <c r="A24" s="283">
        <v>16</v>
      </c>
      <c r="B24" s="279" t="s">
        <v>280</v>
      </c>
      <c r="C24" s="274">
        <v>2254584.292799999</v>
      </c>
    </row>
    <row r="25" spans="1:3">
      <c r="A25" s="283">
        <v>17</v>
      </c>
      <c r="B25" s="279" t="s">
        <v>281</v>
      </c>
      <c r="C25" s="274">
        <v>-1665571.3361099991</v>
      </c>
    </row>
    <row r="26" spans="1:3">
      <c r="A26" s="284">
        <v>18</v>
      </c>
      <c r="B26" s="281" t="s">
        <v>282</v>
      </c>
      <c r="C26" s="282">
        <f>C24+C25</f>
        <v>589012.9566899999</v>
      </c>
    </row>
    <row r="27" spans="1:3">
      <c r="A27" s="269" t="s">
        <v>283</v>
      </c>
      <c r="B27" s="270"/>
      <c r="C27" s="277"/>
    </row>
    <row r="28" spans="1:3" ht="26.4">
      <c r="A28" s="283">
        <v>19</v>
      </c>
      <c r="B28" s="278" t="s">
        <v>284</v>
      </c>
      <c r="C28" s="285">
        <v>0</v>
      </c>
    </row>
    <row r="29" spans="1:3">
      <c r="A29" s="283">
        <v>20</v>
      </c>
      <c r="B29" s="279" t="s">
        <v>285</v>
      </c>
      <c r="C29" s="285">
        <v>0</v>
      </c>
    </row>
    <row r="30" spans="1:3">
      <c r="A30" s="269" t="s">
        <v>670</v>
      </c>
      <c r="B30" s="270"/>
      <c r="C30" s="277"/>
    </row>
    <row r="31" spans="1:3">
      <c r="A31" s="284">
        <v>21</v>
      </c>
      <c r="B31" s="286" t="s">
        <v>286</v>
      </c>
      <c r="C31" s="282">
        <v>100251680.77656534</v>
      </c>
    </row>
    <row r="32" spans="1:3">
      <c r="A32" s="284">
        <v>22</v>
      </c>
      <c r="B32" s="281" t="s">
        <v>287</v>
      </c>
      <c r="C32" s="282">
        <f>C8+C14+C22+C26</f>
        <v>668245825.48732078</v>
      </c>
    </row>
    <row r="33" spans="1:3">
      <c r="A33" s="269" t="s">
        <v>288</v>
      </c>
      <c r="B33" s="270"/>
      <c r="C33" s="277"/>
    </row>
    <row r="34" spans="1:3">
      <c r="A34" s="275">
        <v>23</v>
      </c>
      <c r="B34" s="281" t="s">
        <v>288</v>
      </c>
      <c r="C34" s="579">
        <f>IFERROR(C31/C32,0)</f>
        <v>0.15002215794383217</v>
      </c>
    </row>
    <row r="35" spans="1:3">
      <c r="A35" s="269" t="s">
        <v>289</v>
      </c>
      <c r="B35" s="270"/>
      <c r="C35" s="277"/>
    </row>
    <row r="36" spans="1:3">
      <c r="A36" s="287" t="s">
        <v>290</v>
      </c>
      <c r="B36" s="278" t="s">
        <v>291</v>
      </c>
      <c r="C36" s="285">
        <v>0</v>
      </c>
    </row>
    <row r="37" spans="1:3" ht="26.4">
      <c r="A37" s="287" t="s">
        <v>292</v>
      </c>
      <c r="B37" s="273" t="s">
        <v>293</v>
      </c>
      <c r="C37" s="285">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F9"/>
  <sheetViews>
    <sheetView zoomScale="70" zoomScaleNormal="70" workbookViewId="0"/>
  </sheetViews>
  <sheetFormatPr defaultColWidth="8.88671875" defaultRowHeight="14.4"/>
  <cols>
    <col min="1" max="1" width="11.44140625" style="5" customWidth="1"/>
    <col min="2" max="2" width="76.77734375" style="35" customWidth="1"/>
    <col min="3" max="6" width="25.33203125" style="5" customWidth="1"/>
  </cols>
  <sheetData>
    <row r="1" spans="1:6">
      <c r="A1" s="560" t="s">
        <v>680</v>
      </c>
      <c r="B1" s="552" t="str">
        <f>'Info '!C2</f>
        <v>Crystal</v>
      </c>
    </row>
    <row r="2" spans="1:6">
      <c r="A2" s="64" t="s">
        <v>31</v>
      </c>
      <c r="B2" s="553">
        <f>'1. key ratios '!B2</f>
        <v>45930</v>
      </c>
    </row>
    <row r="3" spans="1:6">
      <c r="A3" s="4"/>
      <c r="B3" s="5"/>
    </row>
    <row r="4" spans="1:6">
      <c r="A4" s="288" t="s">
        <v>660</v>
      </c>
    </row>
    <row r="5" spans="1:6" ht="55.2">
      <c r="B5" s="265"/>
      <c r="C5" s="289" t="s">
        <v>661</v>
      </c>
      <c r="D5" s="289" t="s">
        <v>663</v>
      </c>
      <c r="E5" s="289" t="s">
        <v>662</v>
      </c>
      <c r="F5" s="289" t="s">
        <v>664</v>
      </c>
    </row>
    <row r="6" spans="1:6">
      <c r="B6" s="290" t="s">
        <v>640</v>
      </c>
      <c r="C6" s="427">
        <f>IF(C7&gt;0,C7,IF(C8&gt;0,C8,IF(C9&gt;0,C9,0)))</f>
        <v>7378282.8791920394</v>
      </c>
      <c r="D6" s="427">
        <f t="shared" ref="D6:F6" si="0">IF(D7&gt;0,D7,IF(D8&gt;0,D8,IF(D9&gt;0,D9,0)))</f>
        <v>181550.03981921496</v>
      </c>
      <c r="E6" s="427">
        <f t="shared" si="0"/>
        <v>0</v>
      </c>
      <c r="F6" s="427">
        <f t="shared" si="0"/>
        <v>2269375.4977401868</v>
      </c>
    </row>
    <row r="7" spans="1:6">
      <c r="B7" s="263" t="s">
        <v>651</v>
      </c>
      <c r="C7" s="431">
        <v>7378282.8791920394</v>
      </c>
      <c r="D7" s="431">
        <v>181550.03981921496</v>
      </c>
      <c r="E7" s="431">
        <v>0</v>
      </c>
      <c r="F7" s="431">
        <v>2269375.4977401868</v>
      </c>
    </row>
    <row r="8" spans="1:6">
      <c r="B8" s="263" t="s">
        <v>652</v>
      </c>
      <c r="C8" s="431">
        <v>0</v>
      </c>
      <c r="D8" s="431">
        <v>0</v>
      </c>
      <c r="E8" s="431">
        <v>0</v>
      </c>
      <c r="F8" s="431">
        <v>0</v>
      </c>
    </row>
    <row r="9" spans="1:6">
      <c r="B9" s="263" t="s">
        <v>659</v>
      </c>
      <c r="C9" s="431">
        <v>0</v>
      </c>
      <c r="D9" s="431">
        <v>0</v>
      </c>
      <c r="E9" s="431">
        <v>0</v>
      </c>
      <c r="F9" s="431">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70" zoomScaleNormal="70" workbookViewId="0">
      <pane xSplit="1" ySplit="5" topLeftCell="B6" activePane="bottomRight" state="frozen"/>
      <selection pane="topRight"/>
      <selection pane="bottomLeft"/>
      <selection pane="bottomRight" activeCell="B6" sqref="B6"/>
    </sheetView>
  </sheetViews>
  <sheetFormatPr defaultColWidth="9.21875" defaultRowHeight="13.8"/>
  <cols>
    <col min="1" max="1" width="10.664062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64" t="s">
        <v>680</v>
      </c>
      <c r="B1" s="552" t="str">
        <f>'Info '!C2</f>
        <v>Crystal</v>
      </c>
    </row>
    <row r="2" spans="1:7">
      <c r="A2" s="64" t="s">
        <v>31</v>
      </c>
      <c r="B2" s="553">
        <v>45930</v>
      </c>
    </row>
    <row r="3" spans="1:7" ht="14.4" thickBot="1">
      <c r="A3" s="2"/>
    </row>
    <row r="4" spans="1:7" ht="15" customHeight="1" thickBot="1">
      <c r="A4" s="6" t="s">
        <v>86</v>
      </c>
      <c r="B4" s="7" t="s">
        <v>85</v>
      </c>
      <c r="C4" s="7"/>
      <c r="D4" s="683" t="s">
        <v>628</v>
      </c>
      <c r="E4" s="684"/>
      <c r="F4" s="684"/>
      <c r="G4" s="685"/>
    </row>
    <row r="5" spans="1:7">
      <c r="A5" s="8" t="s">
        <v>7</v>
      </c>
      <c r="B5" s="9"/>
      <c r="C5" s="212" t="str">
        <f>INT((MONTH($B$2))/3)&amp;"Q"&amp;"-"&amp;YEAR($B$2)</f>
        <v>3Q-2025</v>
      </c>
      <c r="D5" s="212" t="str">
        <f>IF(INT(MONTH($B$2))=3, "4"&amp;"Q"&amp;"-"&amp;YEAR($B$2)-1, IF(INT(MONTH($B$2))=6, "1"&amp;"Q"&amp;"-"&amp;YEAR($B$2), IF(INT(MONTH($B$2))=9, "2"&amp;"Q"&amp;"-"&amp;YEAR($B$2),IF(INT(MONTH($B$2))=12, "3"&amp;"Q"&amp;"-"&amp;YEAR($B$2), 0))))</f>
        <v>2Q-2025</v>
      </c>
      <c r="E5" s="212" t="str">
        <f>IF(INT(MONTH($B$2))=3, "3"&amp;"Q"&amp;"-"&amp;YEAR($B$2)-1, IF(INT(MONTH($B$2))=6, "4"&amp;"Q"&amp;"-"&amp;YEAR($B$2)-1, IF(INT(MONTH($B$2))=9, "1"&amp;"Q"&amp;"-"&amp;YEAR($B$2),IF(INT(MONTH($B$2))=12, "2"&amp;"Q"&amp;"-"&amp;YEAR($B$2), 0))))</f>
        <v>1Q-2025</v>
      </c>
      <c r="F5" s="212" t="str">
        <f>IF(INT(MONTH($B$2))=3, "2"&amp;"Q"&amp;"-"&amp;YEAR($B$2)-1, IF(INT(MONTH($B$2))=6, "3"&amp;"Q"&amp;"-"&amp;YEAR($B$2)-1, IF(INT(MONTH($B$2))=9, "4"&amp;"Q"&amp;"-"&amp;YEAR($B$2)-1,IF(INT(MONTH($B$2))=12, "1"&amp;"Q"&amp;"-"&amp;YEAR($B$2), 0))))</f>
        <v>4Q-2024</v>
      </c>
      <c r="G5" s="213" t="str">
        <f>IF(INT(MONTH($B$2))=3, "1"&amp;"Q"&amp;"-"&amp;YEAR($B$2)-1, IF(INT(MONTH($B$2))=6, "2"&amp;"Q"&amp;"-"&amp;YEAR($B$2)-1, IF(INT(MONTH($B$2))=9, "3"&amp;"Q"&amp;"-"&amp;YEAR($B$2)-1,IF(INT(MONTH($B$2))=12, "4"&amp;"Q"&amp;"-"&amp;YEAR($B$2)-1, 0))))</f>
        <v>3Q-2024</v>
      </c>
    </row>
    <row r="6" spans="1:7">
      <c r="B6" s="96" t="s">
        <v>84</v>
      </c>
      <c r="C6" s="215"/>
      <c r="D6" s="215"/>
      <c r="E6" s="215"/>
      <c r="F6" s="215"/>
      <c r="G6" s="216"/>
    </row>
    <row r="7" spans="1:7">
      <c r="A7" s="12"/>
      <c r="B7" s="97" t="s">
        <v>82</v>
      </c>
      <c r="C7" s="215"/>
      <c r="D7" s="215"/>
      <c r="E7" s="215"/>
      <c r="F7" s="215"/>
      <c r="G7" s="216"/>
    </row>
    <row r="8" spans="1:7">
      <c r="A8" s="8">
        <v>1</v>
      </c>
      <c r="B8" s="13" t="s">
        <v>296</v>
      </c>
      <c r="C8" s="14">
        <v>100251680.77656534</v>
      </c>
      <c r="D8" s="14">
        <v>96736791.263049752</v>
      </c>
      <c r="E8" s="15"/>
      <c r="F8" s="15"/>
      <c r="G8" s="16"/>
    </row>
    <row r="9" spans="1:7">
      <c r="A9" s="8">
        <v>2</v>
      </c>
      <c r="B9" s="13" t="s">
        <v>297</v>
      </c>
      <c r="C9" s="14">
        <v>100251680.77656534</v>
      </c>
      <c r="D9" s="14">
        <v>96736791.263049752</v>
      </c>
      <c r="E9" s="15"/>
      <c r="F9" s="15"/>
      <c r="G9" s="16"/>
    </row>
    <row r="10" spans="1:7">
      <c r="A10" s="8">
        <v>3</v>
      </c>
      <c r="B10" s="13" t="s">
        <v>128</v>
      </c>
      <c r="C10" s="14">
        <v>120022040.77656534</v>
      </c>
      <c r="D10" s="14">
        <v>118094603.26304975</v>
      </c>
      <c r="E10" s="15"/>
      <c r="F10" s="15"/>
      <c r="G10" s="16"/>
    </row>
    <row r="11" spans="1:7">
      <c r="A11" s="8">
        <v>4</v>
      </c>
      <c r="B11" s="13" t="s">
        <v>299</v>
      </c>
      <c r="C11" s="14">
        <v>65240220.084318638</v>
      </c>
      <c r="D11" s="14">
        <v>65286875.213134959</v>
      </c>
      <c r="E11" s="15"/>
      <c r="F11" s="15"/>
      <c r="G11" s="16"/>
    </row>
    <row r="12" spans="1:7">
      <c r="A12" s="8">
        <v>5</v>
      </c>
      <c r="B12" s="13" t="s">
        <v>300</v>
      </c>
      <c r="C12" s="14">
        <v>77542813.100212261</v>
      </c>
      <c r="D12" s="14">
        <v>77671112.42268455</v>
      </c>
      <c r="E12" s="15"/>
      <c r="F12" s="15"/>
      <c r="G12" s="16"/>
    </row>
    <row r="13" spans="1:7">
      <c r="A13" s="8">
        <v>6</v>
      </c>
      <c r="B13" s="13" t="s">
        <v>298</v>
      </c>
      <c r="C13" s="14">
        <v>93894360.779564574</v>
      </c>
      <c r="D13" s="14">
        <v>94131174.536642909</v>
      </c>
      <c r="E13" s="15"/>
      <c r="F13" s="15"/>
      <c r="G13" s="16"/>
    </row>
    <row r="14" spans="1:7">
      <c r="A14" s="12"/>
      <c r="B14" s="96" t="s">
        <v>302</v>
      </c>
      <c r="C14" s="215"/>
      <c r="D14" s="215"/>
      <c r="E14" s="215"/>
      <c r="F14" s="215"/>
      <c r="G14" s="216"/>
    </row>
    <row r="15" spans="1:7" ht="15" customHeight="1">
      <c r="A15" s="8">
        <v>7</v>
      </c>
      <c r="B15" s="13" t="s">
        <v>301</v>
      </c>
      <c r="C15" s="141">
        <v>622916102.07056379</v>
      </c>
      <c r="D15" s="141">
        <v>627049985.2936511</v>
      </c>
      <c r="E15" s="15"/>
      <c r="F15" s="15"/>
      <c r="G15" s="16"/>
    </row>
    <row r="16" spans="1:7">
      <c r="A16" s="12"/>
      <c r="B16" s="96" t="s">
        <v>303</v>
      </c>
      <c r="C16" s="215"/>
      <c r="D16" s="215"/>
      <c r="E16" s="215"/>
      <c r="F16" s="215"/>
      <c r="G16" s="216"/>
    </row>
    <row r="17" spans="1:8">
      <c r="A17" s="8"/>
      <c r="B17" s="97" t="s">
        <v>639</v>
      </c>
      <c r="C17" s="142"/>
      <c r="D17" s="142"/>
      <c r="E17" s="15"/>
      <c r="F17" s="15"/>
      <c r="G17" s="16"/>
    </row>
    <row r="18" spans="1:8">
      <c r="A18" s="8">
        <v>8</v>
      </c>
      <c r="B18" s="13" t="s">
        <v>296</v>
      </c>
      <c r="C18" s="375">
        <v>0.16093929895748441</v>
      </c>
      <c r="D18" s="375">
        <v>0.15427285468756904</v>
      </c>
      <c r="E18" s="15"/>
      <c r="F18" s="15"/>
      <c r="G18" s="16"/>
    </row>
    <row r="19" spans="1:8" ht="15" customHeight="1">
      <c r="A19" s="8">
        <v>9</v>
      </c>
      <c r="B19" s="13" t="s">
        <v>297</v>
      </c>
      <c r="C19" s="375">
        <v>0.16093929895748441</v>
      </c>
      <c r="D19" s="375">
        <v>0.15427285468756904</v>
      </c>
      <c r="E19" s="15"/>
      <c r="F19" s="15"/>
      <c r="G19" s="16"/>
    </row>
    <row r="20" spans="1:8">
      <c r="A20" s="8">
        <v>10</v>
      </c>
      <c r="B20" s="13" t="s">
        <v>128</v>
      </c>
      <c r="C20" s="375">
        <v>0.19267769829293846</v>
      </c>
      <c r="D20" s="375">
        <v>0.18833363532852229</v>
      </c>
      <c r="E20" s="15"/>
      <c r="F20" s="15"/>
      <c r="G20" s="16"/>
    </row>
    <row r="21" spans="1:8">
      <c r="A21" s="8">
        <v>11</v>
      </c>
      <c r="B21" s="13" t="s">
        <v>299</v>
      </c>
      <c r="C21" s="375">
        <v>0.10473355860839224</v>
      </c>
      <c r="D21" s="375">
        <v>0.10411749739944694</v>
      </c>
      <c r="E21" s="15"/>
      <c r="F21" s="15"/>
      <c r="G21" s="16"/>
    </row>
    <row r="22" spans="1:8">
      <c r="A22" s="8">
        <v>12</v>
      </c>
      <c r="B22" s="13" t="s">
        <v>300</v>
      </c>
      <c r="C22" s="375">
        <v>0.12448355860839222</v>
      </c>
      <c r="D22" s="375">
        <v>0.12386749739944691</v>
      </c>
      <c r="E22" s="15"/>
      <c r="F22" s="15"/>
      <c r="G22" s="16"/>
    </row>
    <row r="23" spans="1:8">
      <c r="A23" s="8">
        <v>13</v>
      </c>
      <c r="B23" s="13" t="s">
        <v>298</v>
      </c>
      <c r="C23" s="375">
        <v>0.15073355860839224</v>
      </c>
      <c r="D23" s="375">
        <v>0.15011749739944694</v>
      </c>
      <c r="E23" s="15"/>
      <c r="F23" s="15"/>
      <c r="G23" s="16"/>
    </row>
    <row r="24" spans="1:8">
      <c r="A24" s="241"/>
      <c r="B24" s="96"/>
      <c r="C24" s="152"/>
      <c r="D24" s="152"/>
      <c r="E24" s="152"/>
      <c r="F24" s="152"/>
      <c r="G24" s="240"/>
    </row>
    <row r="25" spans="1:8">
      <c r="A25" s="8"/>
      <c r="B25" s="13"/>
      <c r="C25" s="141"/>
      <c r="D25" s="141"/>
      <c r="E25" s="15"/>
      <c r="F25" s="15"/>
      <c r="G25" s="16"/>
      <c r="H25" s="239"/>
    </row>
    <row r="26" spans="1:8">
      <c r="A26" s="12"/>
      <c r="B26" s="96" t="s">
        <v>81</v>
      </c>
      <c r="C26" s="215"/>
      <c r="D26" s="215"/>
      <c r="E26" s="215"/>
      <c r="F26" s="215"/>
      <c r="G26" s="216"/>
    </row>
    <row r="27" spans="1:8" ht="15" customHeight="1">
      <c r="A27" s="217">
        <v>15</v>
      </c>
      <c r="B27" s="13" t="s">
        <v>80</v>
      </c>
      <c r="C27" s="376">
        <v>0.27421771082372526</v>
      </c>
      <c r="D27" s="376">
        <v>0.27492358296656155</v>
      </c>
      <c r="E27" s="18"/>
      <c r="F27" s="18"/>
      <c r="G27" s="19"/>
    </row>
    <row r="28" spans="1:8">
      <c r="A28" s="217">
        <v>16</v>
      </c>
      <c r="B28" s="13" t="s">
        <v>79</v>
      </c>
      <c r="C28" s="376">
        <v>8.2021427886706771E-2</v>
      </c>
      <c r="D28" s="376">
        <v>8.176704012558797E-2</v>
      </c>
      <c r="E28" s="18"/>
      <c r="F28" s="18"/>
      <c r="G28" s="19"/>
    </row>
    <row r="29" spans="1:8">
      <c r="A29" s="217">
        <v>17</v>
      </c>
      <c r="B29" s="13" t="s">
        <v>78</v>
      </c>
      <c r="C29" s="376">
        <v>8.9231692177385941E-2</v>
      </c>
      <c r="D29" s="376">
        <v>8.6420145461373499E-2</v>
      </c>
      <c r="E29" s="18"/>
      <c r="F29" s="18"/>
      <c r="G29" s="19"/>
    </row>
    <row r="30" spans="1:8">
      <c r="A30" s="217">
        <v>18</v>
      </c>
      <c r="B30" s="13" t="s">
        <v>77</v>
      </c>
      <c r="C30" s="376">
        <v>0.19219628293701846</v>
      </c>
      <c r="D30" s="376">
        <v>0.19315654284097356</v>
      </c>
      <c r="E30" s="18"/>
      <c r="F30" s="18"/>
      <c r="G30" s="19"/>
    </row>
    <row r="31" spans="1:8">
      <c r="A31" s="217">
        <v>19</v>
      </c>
      <c r="B31" s="13" t="s">
        <v>140</v>
      </c>
      <c r="C31" s="376">
        <v>2.6316406975848389E-2</v>
      </c>
      <c r="D31" s="376">
        <v>2.615035059690806E-2</v>
      </c>
      <c r="E31" s="18"/>
      <c r="F31" s="18"/>
      <c r="G31" s="19"/>
    </row>
    <row r="32" spans="1:8">
      <c r="A32" s="217">
        <v>20</v>
      </c>
      <c r="B32" s="13" t="s">
        <v>141</v>
      </c>
      <c r="C32" s="376">
        <v>0.16184216312213845</v>
      </c>
      <c r="D32" s="376">
        <v>0.15987830578063861</v>
      </c>
      <c r="E32" s="18"/>
      <c r="F32" s="18"/>
      <c r="G32" s="19"/>
    </row>
    <row r="33" spans="1:7">
      <c r="A33" s="12"/>
      <c r="B33" s="96" t="s">
        <v>192</v>
      </c>
      <c r="C33" s="377"/>
      <c r="D33" s="377"/>
      <c r="E33" s="215"/>
      <c r="F33" s="215"/>
      <c r="G33" s="216"/>
    </row>
    <row r="34" spans="1:7">
      <c r="A34" s="217">
        <v>21</v>
      </c>
      <c r="B34" s="13" t="s">
        <v>76</v>
      </c>
      <c r="C34" s="376">
        <v>3.5347092322783456E-2</v>
      </c>
      <c r="D34" s="376">
        <v>3.2004658617543542E-2</v>
      </c>
      <c r="E34" s="18"/>
      <c r="F34" s="18"/>
      <c r="G34" s="19"/>
    </row>
    <row r="35" spans="1:7" ht="15" customHeight="1">
      <c r="A35" s="217">
        <v>22</v>
      </c>
      <c r="B35" s="13" t="s">
        <v>637</v>
      </c>
      <c r="C35" s="376">
        <v>3.1599080278168899E-2</v>
      </c>
      <c r="D35" s="376">
        <v>3.0139403070741047E-2</v>
      </c>
      <c r="E35" s="18"/>
      <c r="F35" s="18"/>
      <c r="G35" s="19"/>
    </row>
    <row r="36" spans="1:7">
      <c r="A36" s="217"/>
      <c r="B36" s="13"/>
      <c r="C36" s="376"/>
      <c r="D36" s="376"/>
      <c r="E36" s="18"/>
      <c r="F36" s="18"/>
      <c r="G36" s="19"/>
    </row>
    <row r="37" spans="1:7" ht="15" customHeight="1">
      <c r="A37" s="217">
        <v>24</v>
      </c>
      <c r="B37" s="13" t="s">
        <v>75</v>
      </c>
      <c r="C37" s="376">
        <v>2.754878434744382E-2</v>
      </c>
      <c r="D37" s="376">
        <v>2.3717189952980441E-2</v>
      </c>
      <c r="E37" s="18"/>
      <c r="F37" s="18"/>
      <c r="G37" s="19"/>
    </row>
    <row r="38" spans="1:7">
      <c r="A38" s="217">
        <v>25</v>
      </c>
      <c r="B38" s="13" t="s">
        <v>74</v>
      </c>
      <c r="C38" s="17">
        <v>8.302363961961054E-2</v>
      </c>
      <c r="D38" s="17">
        <v>7.6781518470049714E-2</v>
      </c>
      <c r="E38" s="18"/>
      <c r="F38" s="18"/>
      <c r="G38" s="19"/>
    </row>
    <row r="39" spans="1:7" ht="15" customHeight="1">
      <c r="A39" s="12"/>
      <c r="B39" s="96" t="s">
        <v>193</v>
      </c>
      <c r="C39" s="215"/>
      <c r="D39" s="215"/>
      <c r="E39" s="215"/>
      <c r="F39" s="215"/>
      <c r="G39" s="216"/>
    </row>
    <row r="40" spans="1:7" ht="15" customHeight="1">
      <c r="A40" s="217">
        <v>26</v>
      </c>
      <c r="B40" s="13" t="s">
        <v>73</v>
      </c>
      <c r="C40" s="378">
        <v>9.8405456681662659E-2</v>
      </c>
      <c r="D40" s="378">
        <v>6.0739257647646629E-2</v>
      </c>
      <c r="E40" s="10"/>
      <c r="F40" s="10"/>
      <c r="G40" s="11"/>
    </row>
    <row r="41" spans="1:7" ht="15" customHeight="1">
      <c r="A41" s="217">
        <v>27</v>
      </c>
      <c r="B41" s="13" t="s">
        <v>72</v>
      </c>
      <c r="C41" s="378">
        <v>0.52941713148153147</v>
      </c>
      <c r="D41" s="378">
        <v>0.53246174029731519</v>
      </c>
      <c r="E41" s="10"/>
      <c r="F41" s="10"/>
      <c r="G41" s="11"/>
    </row>
    <row r="42" spans="1:7" ht="15" customHeight="1">
      <c r="A42" s="217">
        <v>28</v>
      </c>
      <c r="B42" s="13" t="s">
        <v>71</v>
      </c>
      <c r="C42" s="378">
        <v>1.6130557456147585E-2</v>
      </c>
      <c r="D42" s="378">
        <v>1.313401790489944E-2</v>
      </c>
      <c r="E42" s="10"/>
      <c r="F42" s="10"/>
      <c r="G42" s="11"/>
    </row>
    <row r="43" spans="1:7" ht="15" customHeight="1">
      <c r="A43" s="218"/>
      <c r="B43" s="96" t="s">
        <v>232</v>
      </c>
      <c r="C43" s="215"/>
      <c r="D43" s="215"/>
      <c r="E43" s="215"/>
      <c r="F43" s="215"/>
      <c r="G43" s="216"/>
    </row>
    <row r="44" spans="1:7">
      <c r="A44" s="217">
        <v>29</v>
      </c>
      <c r="B44" s="13" t="s">
        <v>217</v>
      </c>
      <c r="C44" s="17">
        <v>53887411.721883014</v>
      </c>
      <c r="D44" s="17">
        <v>25789729.459150422</v>
      </c>
      <c r="E44" s="18"/>
      <c r="F44" s="18"/>
      <c r="G44" s="19"/>
    </row>
    <row r="45" spans="1:7" ht="15" customHeight="1">
      <c r="A45" s="217">
        <v>30</v>
      </c>
      <c r="B45" s="13" t="s">
        <v>229</v>
      </c>
      <c r="C45" s="17">
        <v>9224867.2327429466</v>
      </c>
      <c r="D45" s="17">
        <v>2106808.6659945003</v>
      </c>
      <c r="E45" s="18"/>
      <c r="F45" s="18"/>
      <c r="G45" s="19"/>
    </row>
    <row r="46" spans="1:7" ht="15" customHeight="1">
      <c r="A46" s="220">
        <v>31</v>
      </c>
      <c r="B46" s="221" t="s">
        <v>218</v>
      </c>
      <c r="C46" s="379">
        <v>5.8415379172736328</v>
      </c>
      <c r="D46" s="379">
        <v>12.241135075726779</v>
      </c>
      <c r="E46" s="223"/>
      <c r="F46" s="223"/>
      <c r="G46" s="224"/>
    </row>
    <row r="47" spans="1:7" ht="15" customHeight="1">
      <c r="A47" s="220"/>
      <c r="B47" s="96" t="s">
        <v>306</v>
      </c>
      <c r="C47" s="222"/>
      <c r="D47" s="222"/>
      <c r="E47" s="223"/>
      <c r="F47" s="223"/>
      <c r="G47" s="224"/>
    </row>
    <row r="48" spans="1:7" ht="15" customHeight="1">
      <c r="A48" s="220">
        <v>32</v>
      </c>
      <c r="B48" s="221" t="s">
        <v>313</v>
      </c>
      <c r="C48" s="222">
        <v>453432266.99706942</v>
      </c>
      <c r="D48" s="222">
        <v>424894296.17742962</v>
      </c>
      <c r="E48" s="223"/>
      <c r="F48" s="223"/>
      <c r="G48" s="224"/>
    </row>
    <row r="49" spans="1:7" ht="15" customHeight="1">
      <c r="A49" s="220">
        <v>33</v>
      </c>
      <c r="B49" s="221" t="s">
        <v>328</v>
      </c>
      <c r="C49" s="222">
        <v>407006349.26996481</v>
      </c>
      <c r="D49" s="222">
        <v>400879896.82444221</v>
      </c>
      <c r="E49" s="223"/>
      <c r="F49" s="223"/>
      <c r="G49" s="224"/>
    </row>
    <row r="50" spans="1:7" ht="14.4" thickBot="1">
      <c r="A50" s="219">
        <v>34</v>
      </c>
      <c r="B50" s="98" t="s">
        <v>346</v>
      </c>
      <c r="C50" s="380">
        <v>1.1140668144621759</v>
      </c>
      <c r="D50" s="380">
        <v>1.0599042257298847</v>
      </c>
      <c r="E50" s="20"/>
      <c r="F50" s="20"/>
      <c r="G50" s="21"/>
    </row>
    <row r="51" spans="1:7">
      <c r="A51" s="22"/>
    </row>
    <row r="52" spans="1:7">
      <c r="B52" s="144"/>
    </row>
    <row r="53" spans="1:7" ht="52.8">
      <c r="B53" s="144" t="s">
        <v>674</v>
      </c>
    </row>
    <row r="55" spans="1:7" ht="14.4">
      <c r="B55" s="14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G42"/>
  <sheetViews>
    <sheetView zoomScale="70" zoomScaleNormal="70" workbookViewId="0">
      <pane xSplit="2" ySplit="6" topLeftCell="C7" activePane="bottomRight" state="frozen"/>
      <selection pane="topRight"/>
      <selection pane="bottomLeft"/>
      <selection pane="bottomRight" activeCell="C7" sqref="C7"/>
    </sheetView>
  </sheetViews>
  <sheetFormatPr defaultRowHeight="14.4"/>
  <cols>
    <col min="1" max="1" width="9.88671875" style="4" customWidth="1"/>
    <col min="2" max="2" width="82.6640625" style="32" customWidth="1"/>
    <col min="3" max="7" width="17.5546875" style="4" customWidth="1"/>
  </cols>
  <sheetData>
    <row r="1" spans="1:7" ht="14.4" customHeight="1">
      <c r="A1" s="560" t="s">
        <v>680</v>
      </c>
      <c r="B1" s="570" t="str">
        <f>'Info '!C2</f>
        <v>Crystal</v>
      </c>
    </row>
    <row r="2" spans="1:7">
      <c r="A2" s="563" t="s">
        <v>31</v>
      </c>
      <c r="B2" s="553">
        <f>'1. key ratios '!B2</f>
        <v>45930</v>
      </c>
    </row>
    <row r="4" spans="1:7" ht="15" thickBot="1">
      <c r="A4" s="4" t="s">
        <v>345</v>
      </c>
      <c r="B4" s="137" t="s">
        <v>306</v>
      </c>
    </row>
    <row r="5" spans="1:7">
      <c r="A5" s="291"/>
      <c r="B5" s="292"/>
      <c r="C5" s="739" t="s">
        <v>307</v>
      </c>
      <c r="D5" s="739"/>
      <c r="E5" s="739"/>
      <c r="F5" s="739"/>
      <c r="G5" s="740" t="s">
        <v>308</v>
      </c>
    </row>
    <row r="6" spans="1:7">
      <c r="A6" s="293"/>
      <c r="B6" s="294"/>
      <c r="C6" s="295" t="s">
        <v>309</v>
      </c>
      <c r="D6" s="295" t="s">
        <v>310</v>
      </c>
      <c r="E6" s="295" t="s">
        <v>311</v>
      </c>
      <c r="F6" s="295" t="s">
        <v>312</v>
      </c>
      <c r="G6" s="741"/>
    </row>
    <row r="7" spans="1:7">
      <c r="A7" s="296"/>
      <c r="B7" s="297" t="s">
        <v>313</v>
      </c>
      <c r="C7" s="298"/>
      <c r="D7" s="298"/>
      <c r="E7" s="298"/>
      <c r="F7" s="298"/>
      <c r="G7" s="299"/>
    </row>
    <row r="8" spans="1:7">
      <c r="A8" s="85">
        <v>1</v>
      </c>
      <c r="B8" s="300" t="s">
        <v>314</v>
      </c>
      <c r="C8" s="301">
        <v>100251680.77656534</v>
      </c>
      <c r="D8" s="301">
        <v>0</v>
      </c>
      <c r="E8" s="301">
        <v>0</v>
      </c>
      <c r="F8" s="301">
        <v>241165914.34</v>
      </c>
      <c r="G8" s="302">
        <v>341417595.11656535</v>
      </c>
    </row>
    <row r="9" spans="1:7">
      <c r="A9" s="85">
        <v>2</v>
      </c>
      <c r="B9" s="303" t="s">
        <v>315</v>
      </c>
      <c r="C9" s="301">
        <v>100251680.77656534</v>
      </c>
      <c r="D9" s="301">
        <v>0</v>
      </c>
      <c r="E9" s="301">
        <v>0</v>
      </c>
      <c r="F9" s="301">
        <v>19770360</v>
      </c>
      <c r="G9" s="302">
        <v>120022040.77656534</v>
      </c>
    </row>
    <row r="10" spans="1:7" ht="27">
      <c r="A10" s="85">
        <v>3</v>
      </c>
      <c r="B10" s="303" t="s">
        <v>316</v>
      </c>
      <c r="C10" s="432"/>
      <c r="D10" s="432"/>
      <c r="E10" s="432"/>
      <c r="F10" s="301">
        <v>221395554.34</v>
      </c>
      <c r="G10" s="302">
        <v>221395554.34</v>
      </c>
    </row>
    <row r="11" spans="1:7" ht="14.55" customHeight="1">
      <c r="A11" s="85">
        <v>4</v>
      </c>
      <c r="B11" s="300" t="s">
        <v>317</v>
      </c>
      <c r="C11" s="301">
        <v>10732811.573499173</v>
      </c>
      <c r="D11" s="301">
        <v>17992228.328599844</v>
      </c>
      <c r="E11" s="301">
        <v>17443425.261599999</v>
      </c>
      <c r="F11" s="301">
        <v>1261618.8842000002</v>
      </c>
      <c r="G11" s="302">
        <v>44921734.395504065</v>
      </c>
    </row>
    <row r="12" spans="1:7">
      <c r="A12" s="85">
        <v>5</v>
      </c>
      <c r="B12" s="303" t="s">
        <v>318</v>
      </c>
      <c r="C12" s="301">
        <v>10732811.573499173</v>
      </c>
      <c r="D12" s="305">
        <v>17807991.808599845</v>
      </c>
      <c r="E12" s="301">
        <v>17323560.781599998</v>
      </c>
      <c r="F12" s="301">
        <v>1261618.8842000002</v>
      </c>
      <c r="G12" s="302">
        <v>44769683.895504065</v>
      </c>
    </row>
    <row r="13" spans="1:7">
      <c r="A13" s="85">
        <v>6</v>
      </c>
      <c r="B13" s="303" t="s">
        <v>319</v>
      </c>
      <c r="C13" s="301">
        <v>0</v>
      </c>
      <c r="D13" s="305">
        <v>184236.52</v>
      </c>
      <c r="E13" s="301">
        <v>119864.48</v>
      </c>
      <c r="F13" s="301">
        <v>0</v>
      </c>
      <c r="G13" s="302">
        <v>152050.5</v>
      </c>
    </row>
    <row r="14" spans="1:7">
      <c r="A14" s="85">
        <v>7</v>
      </c>
      <c r="B14" s="300" t="s">
        <v>320</v>
      </c>
      <c r="C14" s="301">
        <v>59849.600999999988</v>
      </c>
      <c r="D14" s="301">
        <v>112910764.7376</v>
      </c>
      <c r="E14" s="301">
        <v>132551049.5</v>
      </c>
      <c r="F14" s="301">
        <v>0</v>
      </c>
      <c r="G14" s="302">
        <v>67092937.484999999</v>
      </c>
    </row>
    <row r="15" spans="1:7" ht="40.200000000000003">
      <c r="A15" s="85">
        <v>8</v>
      </c>
      <c r="B15" s="303" t="s">
        <v>321</v>
      </c>
      <c r="C15" s="301">
        <v>0</v>
      </c>
      <c r="D15" s="305">
        <v>1634825.47</v>
      </c>
      <c r="E15" s="301">
        <v>4317636.8</v>
      </c>
      <c r="F15" s="301">
        <v>0</v>
      </c>
      <c r="G15" s="302">
        <v>2976231.1349999998</v>
      </c>
    </row>
    <row r="16" spans="1:7" ht="27">
      <c r="A16" s="85">
        <v>9</v>
      </c>
      <c r="B16" s="303" t="s">
        <v>322</v>
      </c>
      <c r="C16" s="301">
        <v>59849.600999999988</v>
      </c>
      <c r="D16" s="305">
        <v>111275939.2676</v>
      </c>
      <c r="E16" s="301">
        <v>128233412.7</v>
      </c>
      <c r="F16" s="301">
        <v>0</v>
      </c>
      <c r="G16" s="302">
        <v>64116706.350000001</v>
      </c>
    </row>
    <row r="17" spans="1:7">
      <c r="A17" s="85">
        <v>10</v>
      </c>
      <c r="B17" s="300" t="s">
        <v>323</v>
      </c>
      <c r="C17" s="301">
        <v>0</v>
      </c>
      <c r="D17" s="305">
        <v>0</v>
      </c>
      <c r="E17" s="301">
        <v>0</v>
      </c>
      <c r="F17" s="301">
        <v>0</v>
      </c>
      <c r="G17" s="302">
        <v>0</v>
      </c>
    </row>
    <row r="18" spans="1:7">
      <c r="A18" s="85">
        <v>11</v>
      </c>
      <c r="B18" s="300" t="s">
        <v>324</v>
      </c>
      <c r="C18" s="301">
        <v>0</v>
      </c>
      <c r="D18" s="305">
        <v>24318049.550000001</v>
      </c>
      <c r="E18" s="301">
        <v>1481704.59</v>
      </c>
      <c r="F18" s="301">
        <v>0</v>
      </c>
      <c r="G18" s="302">
        <v>0</v>
      </c>
    </row>
    <row r="19" spans="1:7">
      <c r="A19" s="85">
        <v>12</v>
      </c>
      <c r="B19" s="303" t="s">
        <v>325</v>
      </c>
      <c r="C19" s="432"/>
      <c r="D19" s="305">
        <v>8314201.5199999996</v>
      </c>
      <c r="E19" s="301">
        <v>0</v>
      </c>
      <c r="F19" s="301">
        <v>0</v>
      </c>
      <c r="G19" s="302">
        <v>0</v>
      </c>
    </row>
    <row r="20" spans="1:7">
      <c r="A20" s="85">
        <v>13</v>
      </c>
      <c r="B20" s="303" t="s">
        <v>326</v>
      </c>
      <c r="C20" s="301">
        <v>0</v>
      </c>
      <c r="D20" s="301">
        <v>16003848.030000001</v>
      </c>
      <c r="E20" s="301">
        <v>1481704.59</v>
      </c>
      <c r="F20" s="301">
        <v>0</v>
      </c>
      <c r="G20" s="302">
        <v>0</v>
      </c>
    </row>
    <row r="21" spans="1:7">
      <c r="A21" s="306">
        <v>14</v>
      </c>
      <c r="B21" s="307" t="s">
        <v>327</v>
      </c>
      <c r="C21" s="304"/>
      <c r="D21" s="304"/>
      <c r="E21" s="304"/>
      <c r="F21" s="304"/>
      <c r="G21" s="308">
        <f>SUM(G8,G11,G14,G17,G18)</f>
        <v>453432266.99706942</v>
      </c>
    </row>
    <row r="22" spans="1:7">
      <c r="A22" s="309"/>
      <c r="B22" s="310" t="s">
        <v>328</v>
      </c>
      <c r="C22" s="311"/>
      <c r="D22" s="312"/>
      <c r="E22" s="311"/>
      <c r="F22" s="311"/>
      <c r="G22" s="313"/>
    </row>
    <row r="23" spans="1:7">
      <c r="A23" s="85">
        <v>15</v>
      </c>
      <c r="B23" s="300" t="s">
        <v>329</v>
      </c>
      <c r="C23" s="314">
        <v>32306176.312900022</v>
      </c>
      <c r="D23" s="315">
        <v>33170000</v>
      </c>
      <c r="E23" s="314">
        <v>0</v>
      </c>
      <c r="F23" s="314">
        <v>0</v>
      </c>
      <c r="G23" s="302">
        <v>363122.65896000003</v>
      </c>
    </row>
    <row r="24" spans="1:7">
      <c r="A24" s="85">
        <v>16</v>
      </c>
      <c r="B24" s="300" t="s">
        <v>330</v>
      </c>
      <c r="C24" s="301">
        <v>0</v>
      </c>
      <c r="D24" s="305">
        <v>171950889.39050037</v>
      </c>
      <c r="E24" s="301">
        <v>110256504.32652134</v>
      </c>
      <c r="F24" s="301">
        <v>236711960.13718763</v>
      </c>
      <c r="G24" s="302">
        <v>342308862.97512031</v>
      </c>
    </row>
    <row r="25" spans="1:7">
      <c r="A25" s="85">
        <v>17</v>
      </c>
      <c r="B25" s="303" t="s">
        <v>331</v>
      </c>
      <c r="C25" s="301">
        <v>0</v>
      </c>
      <c r="D25" s="305">
        <v>0</v>
      </c>
      <c r="E25" s="301">
        <v>0</v>
      </c>
      <c r="F25" s="301">
        <v>0</v>
      </c>
      <c r="G25" s="302">
        <v>0</v>
      </c>
    </row>
    <row r="26" spans="1:7" ht="27">
      <c r="A26" s="85">
        <v>18</v>
      </c>
      <c r="B26" s="303" t="s">
        <v>332</v>
      </c>
      <c r="C26" s="301">
        <v>0</v>
      </c>
      <c r="D26" s="305">
        <v>0</v>
      </c>
      <c r="E26" s="301">
        <v>0</v>
      </c>
      <c r="F26" s="301">
        <v>0</v>
      </c>
      <c r="G26" s="302">
        <v>0</v>
      </c>
    </row>
    <row r="27" spans="1:7">
      <c r="A27" s="85">
        <v>19</v>
      </c>
      <c r="B27" s="303" t="s">
        <v>333</v>
      </c>
      <c r="C27" s="301">
        <v>0</v>
      </c>
      <c r="D27" s="305">
        <v>171950889.39050037</v>
      </c>
      <c r="E27" s="301">
        <v>110256504.32652134</v>
      </c>
      <c r="F27" s="301">
        <v>236711960.13718763</v>
      </c>
      <c r="G27" s="302">
        <v>342308862.97512031</v>
      </c>
    </row>
    <row r="28" spans="1:7">
      <c r="A28" s="85">
        <v>20</v>
      </c>
      <c r="B28" s="316" t="s">
        <v>334</v>
      </c>
      <c r="C28" s="301">
        <v>0</v>
      </c>
      <c r="D28" s="305">
        <v>0</v>
      </c>
      <c r="E28" s="301">
        <v>0</v>
      </c>
      <c r="F28" s="301">
        <v>0</v>
      </c>
      <c r="G28" s="302">
        <v>0</v>
      </c>
    </row>
    <row r="29" spans="1:7">
      <c r="A29" s="85">
        <v>21</v>
      </c>
      <c r="B29" s="303" t="s">
        <v>335</v>
      </c>
      <c r="C29" s="301">
        <v>0</v>
      </c>
      <c r="D29" s="305">
        <v>0</v>
      </c>
      <c r="E29" s="301">
        <v>0</v>
      </c>
      <c r="F29" s="301">
        <v>0</v>
      </c>
      <c r="G29" s="302">
        <v>0</v>
      </c>
    </row>
    <row r="30" spans="1:7">
      <c r="A30" s="85">
        <v>22</v>
      </c>
      <c r="B30" s="316" t="s">
        <v>334</v>
      </c>
      <c r="C30" s="301">
        <v>0</v>
      </c>
      <c r="D30" s="305">
        <v>0</v>
      </c>
      <c r="E30" s="301">
        <v>0</v>
      </c>
      <c r="F30" s="301">
        <v>0</v>
      </c>
      <c r="G30" s="302">
        <v>0</v>
      </c>
    </row>
    <row r="31" spans="1:7">
      <c r="A31" s="85">
        <v>23</v>
      </c>
      <c r="B31" s="303" t="s">
        <v>336</v>
      </c>
      <c r="C31" s="301">
        <v>0</v>
      </c>
      <c r="D31" s="305">
        <v>0</v>
      </c>
      <c r="E31" s="301">
        <v>0</v>
      </c>
      <c r="F31" s="301">
        <v>0</v>
      </c>
      <c r="G31" s="302">
        <v>0</v>
      </c>
    </row>
    <row r="32" spans="1:7">
      <c r="A32" s="85">
        <v>24</v>
      </c>
      <c r="B32" s="300" t="s">
        <v>337</v>
      </c>
      <c r="C32" s="301">
        <v>0</v>
      </c>
      <c r="D32" s="305">
        <v>0</v>
      </c>
      <c r="E32" s="301">
        <v>0</v>
      </c>
      <c r="F32" s="301">
        <v>0</v>
      </c>
      <c r="G32" s="302">
        <v>0</v>
      </c>
    </row>
    <row r="33" spans="1:7">
      <c r="A33" s="85">
        <v>25</v>
      </c>
      <c r="B33" s="300" t="s">
        <v>338</v>
      </c>
      <c r="C33" s="301">
        <v>26223979.77</v>
      </c>
      <c r="D33" s="301">
        <v>21345730.195989512</v>
      </c>
      <c r="E33" s="301">
        <v>10012143.564384194</v>
      </c>
      <c r="F33" s="301">
        <v>18191713.006057642</v>
      </c>
      <c r="G33" s="302">
        <v>64221634.421244495</v>
      </c>
    </row>
    <row r="34" spans="1:7">
      <c r="A34" s="85">
        <v>26</v>
      </c>
      <c r="B34" s="303" t="s">
        <v>339</v>
      </c>
      <c r="C34" s="432"/>
      <c r="D34" s="305">
        <v>0</v>
      </c>
      <c r="E34" s="301">
        <v>0</v>
      </c>
      <c r="F34" s="301">
        <v>0</v>
      </c>
      <c r="G34" s="302">
        <v>0</v>
      </c>
    </row>
    <row r="35" spans="1:7">
      <c r="A35" s="85">
        <v>27</v>
      </c>
      <c r="B35" s="303" t="s">
        <v>340</v>
      </c>
      <c r="C35" s="301">
        <v>26223979.77</v>
      </c>
      <c r="D35" s="305">
        <v>21345730.195989512</v>
      </c>
      <c r="E35" s="301">
        <v>10012143.564384194</v>
      </c>
      <c r="F35" s="301">
        <v>18191713.006057642</v>
      </c>
      <c r="G35" s="302">
        <v>64221634.421244495</v>
      </c>
    </row>
    <row r="36" spans="1:7">
      <c r="A36" s="85">
        <v>28</v>
      </c>
      <c r="B36" s="300" t="s">
        <v>341</v>
      </c>
      <c r="C36" s="301">
        <v>0</v>
      </c>
      <c r="D36" s="305">
        <v>1869916.2656999999</v>
      </c>
      <c r="E36" s="301">
        <v>61773.710000000006</v>
      </c>
      <c r="F36" s="301">
        <v>322894.31709999999</v>
      </c>
      <c r="G36" s="302">
        <v>112729.21464000025</v>
      </c>
    </row>
    <row r="37" spans="1:7">
      <c r="A37" s="306">
        <v>29</v>
      </c>
      <c r="B37" s="307" t="s">
        <v>342</v>
      </c>
      <c r="C37" s="304"/>
      <c r="D37" s="304"/>
      <c r="E37" s="304"/>
      <c r="F37" s="304"/>
      <c r="G37" s="308">
        <f>SUM(G23:G24,G32:G33,G36)</f>
        <v>407006349.26996481</v>
      </c>
    </row>
    <row r="38" spans="1:7">
      <c r="A38" s="296"/>
      <c r="B38" s="317"/>
      <c r="C38" s="318"/>
      <c r="D38" s="318"/>
      <c r="E38" s="318"/>
      <c r="F38" s="318"/>
      <c r="G38" s="319"/>
    </row>
    <row r="39" spans="1:7" ht="15" thickBot="1">
      <c r="A39" s="320">
        <v>30</v>
      </c>
      <c r="B39" s="321" t="s">
        <v>343</v>
      </c>
      <c r="C39" s="322"/>
      <c r="D39" s="323"/>
      <c r="E39" s="323"/>
      <c r="F39" s="324"/>
      <c r="G39" s="325">
        <f>IFERROR(G21/G37,0)</f>
        <v>1.1140668144621759</v>
      </c>
    </row>
    <row r="42" spans="1:7" s="254" customFormat="1" ht="39.6">
      <c r="A42" s="326"/>
      <c r="B42" s="253" t="s">
        <v>344</v>
      </c>
      <c r="C42" s="326"/>
      <c r="D42" s="326"/>
      <c r="E42" s="326"/>
      <c r="F42" s="326"/>
      <c r="G42" s="326"/>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H26"/>
  <sheetViews>
    <sheetView showGridLines="0" zoomScale="80"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2"/>
  <cols>
    <col min="1" max="1" width="11.77734375" style="327" bestFit="1" customWidth="1"/>
    <col min="2" max="2" width="105.21875" style="327" bestFit="1" customWidth="1"/>
    <col min="3" max="3" width="10.109375" style="327" bestFit="1" customWidth="1"/>
    <col min="4" max="5" width="14.109375" style="327" bestFit="1" customWidth="1"/>
    <col min="6" max="6" width="12.109375" style="327" bestFit="1" customWidth="1"/>
    <col min="7" max="7" width="15.6640625" style="327" bestFit="1" customWidth="1"/>
    <col min="8" max="8" width="14.109375" style="327" bestFit="1" customWidth="1"/>
    <col min="9" max="16384" width="9.21875" style="237"/>
  </cols>
  <sheetData>
    <row r="1" spans="1:8" ht="13.2">
      <c r="A1" s="560" t="s">
        <v>680</v>
      </c>
      <c r="B1" s="572" t="str">
        <f>'Info '!C2</f>
        <v>Crystal</v>
      </c>
    </row>
    <row r="2" spans="1:8">
      <c r="A2" s="571" t="s">
        <v>31</v>
      </c>
      <c r="B2" s="573">
        <f>'1. key ratios '!B2</f>
        <v>45930</v>
      </c>
    </row>
    <row r="3" spans="1:8">
      <c r="A3" s="329" t="s">
        <v>349</v>
      </c>
    </row>
    <row r="5" spans="1:8" ht="12" customHeight="1">
      <c r="A5" s="742" t="s">
        <v>350</v>
      </c>
      <c r="B5" s="743"/>
      <c r="C5" s="748" t="s">
        <v>351</v>
      </c>
      <c r="D5" s="749"/>
      <c r="E5" s="749"/>
      <c r="F5" s="749"/>
      <c r="G5" s="749"/>
      <c r="H5" s="750"/>
    </row>
    <row r="6" spans="1:8">
      <c r="A6" s="744"/>
      <c r="B6" s="745"/>
      <c r="C6" s="751"/>
      <c r="D6" s="752"/>
      <c r="E6" s="752"/>
      <c r="F6" s="752"/>
      <c r="G6" s="752"/>
      <c r="H6" s="753"/>
    </row>
    <row r="7" spans="1:8">
      <c r="A7" s="746"/>
      <c r="B7" s="747"/>
      <c r="C7" s="330" t="s">
        <v>352</v>
      </c>
      <c r="D7" s="330" t="s">
        <v>353</v>
      </c>
      <c r="E7" s="330" t="s">
        <v>354</v>
      </c>
      <c r="F7" s="330" t="s">
        <v>355</v>
      </c>
      <c r="G7" s="330" t="s">
        <v>356</v>
      </c>
      <c r="H7" s="330" t="s">
        <v>62</v>
      </c>
    </row>
    <row r="8" spans="1:8">
      <c r="A8" s="331">
        <v>1</v>
      </c>
      <c r="B8" s="332" t="s">
        <v>50</v>
      </c>
      <c r="C8" s="578">
        <v>0</v>
      </c>
      <c r="D8" s="578">
        <v>0</v>
      </c>
      <c r="E8" s="578">
        <v>0</v>
      </c>
      <c r="F8" s="578">
        <v>0</v>
      </c>
      <c r="G8" s="578">
        <v>0</v>
      </c>
      <c r="H8" s="578">
        <f t="shared" ref="H8:H20" si="0">SUM(C8:G8)</f>
        <v>0</v>
      </c>
    </row>
    <row r="9" spans="1:8">
      <c r="A9" s="331">
        <v>2</v>
      </c>
      <c r="B9" s="332" t="s">
        <v>51</v>
      </c>
      <c r="C9" s="578">
        <v>0</v>
      </c>
      <c r="D9" s="578">
        <v>0</v>
      </c>
      <c r="E9" s="578">
        <v>0</v>
      </c>
      <c r="F9" s="578">
        <v>0</v>
      </c>
      <c r="G9" s="578">
        <v>0</v>
      </c>
      <c r="H9" s="578">
        <f t="shared" si="0"/>
        <v>0</v>
      </c>
    </row>
    <row r="10" spans="1:8">
      <c r="A10" s="331">
        <v>3</v>
      </c>
      <c r="B10" s="332" t="s">
        <v>138</v>
      </c>
      <c r="C10" s="578">
        <v>0</v>
      </c>
      <c r="D10" s="578">
        <v>0</v>
      </c>
      <c r="E10" s="578">
        <v>0</v>
      </c>
      <c r="F10" s="578">
        <v>0</v>
      </c>
      <c r="G10" s="578">
        <v>0</v>
      </c>
      <c r="H10" s="578">
        <f t="shared" si="0"/>
        <v>0</v>
      </c>
    </row>
    <row r="11" spans="1:8">
      <c r="A11" s="331">
        <v>4</v>
      </c>
      <c r="B11" s="332" t="s">
        <v>52</v>
      </c>
      <c r="C11" s="578">
        <v>0</v>
      </c>
      <c r="D11" s="578">
        <v>0</v>
      </c>
      <c r="E11" s="578">
        <v>0</v>
      </c>
      <c r="F11" s="578">
        <v>0</v>
      </c>
      <c r="G11" s="578">
        <v>0</v>
      </c>
      <c r="H11" s="578">
        <f t="shared" si="0"/>
        <v>0</v>
      </c>
    </row>
    <row r="12" spans="1:8">
      <c r="A12" s="331">
        <v>5</v>
      </c>
      <c r="B12" s="332" t="s">
        <v>53</v>
      </c>
      <c r="C12" s="578">
        <v>0</v>
      </c>
      <c r="D12" s="578">
        <v>0</v>
      </c>
      <c r="E12" s="578">
        <v>0</v>
      </c>
      <c r="F12" s="578">
        <v>0</v>
      </c>
      <c r="G12" s="578">
        <v>0</v>
      </c>
      <c r="H12" s="578">
        <f t="shared" si="0"/>
        <v>0</v>
      </c>
    </row>
    <row r="13" spans="1:8">
      <c r="A13" s="331">
        <v>6</v>
      </c>
      <c r="B13" s="332" t="s">
        <v>687</v>
      </c>
      <c r="C13" s="578">
        <v>0</v>
      </c>
      <c r="D13" s="578">
        <v>0</v>
      </c>
      <c r="E13" s="578">
        <v>0</v>
      </c>
      <c r="F13" s="578">
        <v>0</v>
      </c>
      <c r="G13" s="578">
        <v>0</v>
      </c>
      <c r="H13" s="578">
        <f t="shared" si="0"/>
        <v>0</v>
      </c>
    </row>
    <row r="14" spans="1:8">
      <c r="A14" s="331">
        <v>7</v>
      </c>
      <c r="B14" s="332" t="s">
        <v>54</v>
      </c>
      <c r="C14" s="578">
        <v>0</v>
      </c>
      <c r="D14" s="578">
        <v>0</v>
      </c>
      <c r="E14" s="578">
        <v>0</v>
      </c>
      <c r="F14" s="578">
        <v>0</v>
      </c>
      <c r="G14" s="578">
        <v>0</v>
      </c>
      <c r="H14" s="578">
        <f t="shared" si="0"/>
        <v>0</v>
      </c>
    </row>
    <row r="15" spans="1:8">
      <c r="A15" s="331">
        <v>8</v>
      </c>
      <c r="B15" s="334" t="s">
        <v>55</v>
      </c>
      <c r="C15" s="578">
        <v>0</v>
      </c>
      <c r="D15" s="578">
        <v>288920710.88586938</v>
      </c>
      <c r="E15" s="578">
        <v>248579103.69565761</v>
      </c>
      <c r="F15" s="578">
        <v>3554847.2138734097</v>
      </c>
      <c r="G15" s="578">
        <v>0</v>
      </c>
      <c r="H15" s="578">
        <f t="shared" si="0"/>
        <v>541054661.79540038</v>
      </c>
    </row>
    <row r="16" spans="1:8">
      <c r="A16" s="331">
        <v>9</v>
      </c>
      <c r="B16" s="332" t="s">
        <v>56</v>
      </c>
      <c r="C16" s="578">
        <v>0</v>
      </c>
      <c r="D16" s="578">
        <v>0</v>
      </c>
      <c r="E16" s="578">
        <v>0</v>
      </c>
      <c r="F16" s="578">
        <v>0</v>
      </c>
      <c r="G16" s="578">
        <v>0</v>
      </c>
      <c r="H16" s="578">
        <f t="shared" si="0"/>
        <v>0</v>
      </c>
    </row>
    <row r="17" spans="1:8">
      <c r="A17" s="331">
        <v>10</v>
      </c>
      <c r="B17" s="335" t="s">
        <v>364</v>
      </c>
      <c r="C17" s="578">
        <v>0</v>
      </c>
      <c r="D17" s="578">
        <v>8186529.2908276767</v>
      </c>
      <c r="E17" s="578">
        <v>7043455.3038880806</v>
      </c>
      <c r="F17" s="578">
        <v>100726.11531226558</v>
      </c>
      <c r="G17" s="578">
        <v>0</v>
      </c>
      <c r="H17" s="578">
        <f t="shared" si="0"/>
        <v>15330710.710028023</v>
      </c>
    </row>
    <row r="18" spans="1:8">
      <c r="A18" s="331">
        <v>11</v>
      </c>
      <c r="B18" s="332" t="s">
        <v>58</v>
      </c>
      <c r="C18" s="578">
        <v>0</v>
      </c>
      <c r="D18" s="578">
        <v>0</v>
      </c>
      <c r="E18" s="578">
        <v>0</v>
      </c>
      <c r="F18" s="578">
        <v>0</v>
      </c>
      <c r="G18" s="578">
        <v>0</v>
      </c>
      <c r="H18" s="578">
        <f t="shared" si="0"/>
        <v>0</v>
      </c>
    </row>
    <row r="19" spans="1:8">
      <c r="A19" s="331">
        <v>12</v>
      </c>
      <c r="B19" s="332" t="s">
        <v>59</v>
      </c>
      <c r="C19" s="578">
        <v>0</v>
      </c>
      <c r="D19" s="578">
        <v>0</v>
      </c>
      <c r="E19" s="578">
        <v>0</v>
      </c>
      <c r="F19" s="578">
        <v>0</v>
      </c>
      <c r="G19" s="578">
        <v>0</v>
      </c>
      <c r="H19" s="578">
        <f t="shared" si="0"/>
        <v>0</v>
      </c>
    </row>
    <row r="20" spans="1:8">
      <c r="A20" s="336">
        <v>13</v>
      </c>
      <c r="B20" s="334" t="s">
        <v>130</v>
      </c>
      <c r="C20" s="578">
        <v>0</v>
      </c>
      <c r="D20" s="578">
        <v>0</v>
      </c>
      <c r="E20" s="578">
        <v>0</v>
      </c>
      <c r="F20" s="578">
        <v>0</v>
      </c>
      <c r="G20" s="578">
        <v>0</v>
      </c>
      <c r="H20" s="578">
        <f t="shared" si="0"/>
        <v>0</v>
      </c>
    </row>
    <row r="21" spans="1:8">
      <c r="A21" s="331">
        <v>14</v>
      </c>
      <c r="B21" s="332" t="s">
        <v>61</v>
      </c>
      <c r="C21" s="578">
        <v>0</v>
      </c>
      <c r="D21" s="578">
        <v>0</v>
      </c>
      <c r="E21" s="578">
        <v>0</v>
      </c>
      <c r="F21" s="578">
        <v>0</v>
      </c>
      <c r="G21" s="578">
        <v>0</v>
      </c>
      <c r="H21" s="578">
        <f>SUM(C21:G21)</f>
        <v>0</v>
      </c>
    </row>
    <row r="22" spans="1:8">
      <c r="A22" s="337">
        <v>15</v>
      </c>
      <c r="B22" s="333" t="s">
        <v>62</v>
      </c>
      <c r="C22" s="578">
        <f>SUM(C18:C21)+SUM(C8:C16)</f>
        <v>0</v>
      </c>
      <c r="D22" s="578">
        <f t="shared" ref="D22:H22" si="1">SUM(D18:D21)+SUM(D8:D16)</f>
        <v>288920710.88586938</v>
      </c>
      <c r="E22" s="578">
        <f t="shared" si="1"/>
        <v>248579103.69565761</v>
      </c>
      <c r="F22" s="578">
        <f t="shared" si="1"/>
        <v>3554847.2138734097</v>
      </c>
      <c r="G22" s="578">
        <f t="shared" si="1"/>
        <v>0</v>
      </c>
      <c r="H22" s="578">
        <f t="shared" si="1"/>
        <v>541054661.79540038</v>
      </c>
    </row>
    <row r="26" spans="1:8" ht="22.8">
      <c r="B26" s="338" t="s">
        <v>449</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H26"/>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2"/>
  <cols>
    <col min="1" max="1" width="11.77734375" style="351" bestFit="1" customWidth="1"/>
    <col min="2" max="2" width="86.77734375" style="327" customWidth="1"/>
    <col min="3" max="4" width="31.5546875" style="327" customWidth="1"/>
    <col min="5" max="5" width="15.109375" style="327" bestFit="1" customWidth="1"/>
    <col min="6" max="6" width="11.77734375" style="327" bestFit="1" customWidth="1"/>
    <col min="7" max="7" width="21.5546875" style="327" bestFit="1" customWidth="1"/>
    <col min="8" max="8" width="41.44140625" style="327" customWidth="1"/>
    <col min="9" max="16384" width="9.21875" style="237"/>
  </cols>
  <sheetData>
    <row r="1" spans="1:8" ht="13.2">
      <c r="A1" s="560" t="s">
        <v>680</v>
      </c>
      <c r="B1" s="572" t="str">
        <f>'Info '!C2</f>
        <v>Crystal</v>
      </c>
      <c r="C1" s="339"/>
      <c r="D1" s="339"/>
      <c r="E1" s="339"/>
      <c r="F1" s="339"/>
      <c r="G1" s="339"/>
      <c r="H1" s="339"/>
    </row>
    <row r="2" spans="1:8">
      <c r="A2" s="571" t="s">
        <v>31</v>
      </c>
      <c r="B2" s="573">
        <f>'1. key ratios '!B2</f>
        <v>45930</v>
      </c>
      <c r="C2" s="339"/>
      <c r="D2" s="339"/>
      <c r="E2" s="339"/>
      <c r="F2" s="339"/>
      <c r="G2" s="339"/>
      <c r="H2" s="339"/>
    </row>
    <row r="3" spans="1:8">
      <c r="A3" s="329" t="s">
        <v>357</v>
      </c>
      <c r="B3" s="339"/>
      <c r="C3" s="339"/>
      <c r="D3" s="339"/>
      <c r="E3" s="339"/>
      <c r="F3" s="339"/>
      <c r="G3" s="339"/>
      <c r="H3" s="339"/>
    </row>
    <row r="4" spans="1:8">
      <c r="A4" s="340"/>
      <c r="B4" s="339"/>
      <c r="C4" s="341" t="s">
        <v>0</v>
      </c>
      <c r="D4" s="341" t="s">
        <v>1</v>
      </c>
      <c r="E4" s="341" t="s">
        <v>2</v>
      </c>
      <c r="F4" s="341" t="s">
        <v>3</v>
      </c>
      <c r="G4" s="341" t="s">
        <v>4</v>
      </c>
      <c r="H4" s="341" t="s">
        <v>6</v>
      </c>
    </row>
    <row r="5" spans="1:8">
      <c r="A5" s="742" t="s">
        <v>358</v>
      </c>
      <c r="B5" s="743"/>
      <c r="C5" s="756" t="s">
        <v>359</v>
      </c>
      <c r="D5" s="756"/>
      <c r="E5" s="756" t="s">
        <v>594</v>
      </c>
      <c r="F5" s="754" t="s">
        <v>360</v>
      </c>
      <c r="G5" s="754" t="s">
        <v>361</v>
      </c>
      <c r="H5" s="342" t="s">
        <v>593</v>
      </c>
    </row>
    <row r="6" spans="1:8" ht="22.8">
      <c r="A6" s="746"/>
      <c r="B6" s="747"/>
      <c r="C6" s="343" t="s">
        <v>362</v>
      </c>
      <c r="D6" s="343" t="s">
        <v>363</v>
      </c>
      <c r="E6" s="756"/>
      <c r="F6" s="755"/>
      <c r="G6" s="755"/>
      <c r="H6" s="342" t="s">
        <v>592</v>
      </c>
    </row>
    <row r="7" spans="1:8">
      <c r="A7" s="344">
        <v>1</v>
      </c>
      <c r="B7" s="332" t="s">
        <v>50</v>
      </c>
      <c r="C7" s="433">
        <v>0</v>
      </c>
      <c r="D7" s="433">
        <v>0</v>
      </c>
      <c r="E7" s="433">
        <v>0</v>
      </c>
      <c r="F7" s="433">
        <v>0</v>
      </c>
      <c r="G7" s="433">
        <v>0</v>
      </c>
      <c r="H7" s="434">
        <f t="shared" ref="H7:H20" si="0">C7+D7-E7-F7</f>
        <v>0</v>
      </c>
    </row>
    <row r="8" spans="1:8">
      <c r="A8" s="344">
        <v>2</v>
      </c>
      <c r="B8" s="332" t="s">
        <v>51</v>
      </c>
      <c r="C8" s="433">
        <v>0</v>
      </c>
      <c r="D8" s="433">
        <v>0</v>
      </c>
      <c r="E8" s="433">
        <v>0</v>
      </c>
      <c r="F8" s="433">
        <v>0</v>
      </c>
      <c r="G8" s="433">
        <v>0</v>
      </c>
      <c r="H8" s="434">
        <f t="shared" si="0"/>
        <v>0</v>
      </c>
    </row>
    <row r="9" spans="1:8">
      <c r="A9" s="344">
        <v>3</v>
      </c>
      <c r="B9" s="332" t="s">
        <v>138</v>
      </c>
      <c r="C9" s="433">
        <v>0</v>
      </c>
      <c r="D9" s="433">
        <v>0</v>
      </c>
      <c r="E9" s="433">
        <v>0</v>
      </c>
      <c r="F9" s="433">
        <v>0</v>
      </c>
      <c r="G9" s="433">
        <v>0</v>
      </c>
      <c r="H9" s="434">
        <f t="shared" si="0"/>
        <v>0</v>
      </c>
    </row>
    <row r="10" spans="1:8">
      <c r="A10" s="344">
        <v>4</v>
      </c>
      <c r="B10" s="332" t="s">
        <v>52</v>
      </c>
      <c r="C10" s="433">
        <v>0</v>
      </c>
      <c r="D10" s="433">
        <v>0</v>
      </c>
      <c r="E10" s="433">
        <v>0</v>
      </c>
      <c r="F10" s="433">
        <v>0</v>
      </c>
      <c r="G10" s="433">
        <v>0</v>
      </c>
      <c r="H10" s="434">
        <f t="shared" si="0"/>
        <v>0</v>
      </c>
    </row>
    <row r="11" spans="1:8">
      <c r="A11" s="344">
        <v>5</v>
      </c>
      <c r="B11" s="332" t="s">
        <v>53</v>
      </c>
      <c r="C11" s="433">
        <v>0</v>
      </c>
      <c r="D11" s="433">
        <v>0</v>
      </c>
      <c r="E11" s="433">
        <v>0</v>
      </c>
      <c r="F11" s="433">
        <v>0</v>
      </c>
      <c r="G11" s="433">
        <v>0</v>
      </c>
      <c r="H11" s="434">
        <f t="shared" si="0"/>
        <v>0</v>
      </c>
    </row>
    <row r="12" spans="1:8">
      <c r="A12" s="344">
        <v>6</v>
      </c>
      <c r="B12" s="332" t="s">
        <v>687</v>
      </c>
      <c r="C12" s="433">
        <v>0</v>
      </c>
      <c r="D12" s="433">
        <v>0</v>
      </c>
      <c r="E12" s="433">
        <v>0</v>
      </c>
      <c r="F12" s="433">
        <v>0</v>
      </c>
      <c r="G12" s="433">
        <v>0</v>
      </c>
      <c r="H12" s="434">
        <f t="shared" si="0"/>
        <v>0</v>
      </c>
    </row>
    <row r="13" spans="1:8">
      <c r="A13" s="344">
        <v>7</v>
      </c>
      <c r="B13" s="332" t="s">
        <v>54</v>
      </c>
      <c r="C13" s="433">
        <v>0</v>
      </c>
      <c r="D13" s="433">
        <v>0</v>
      </c>
      <c r="E13" s="433">
        <v>0</v>
      </c>
      <c r="F13" s="433">
        <v>0</v>
      </c>
      <c r="G13" s="433">
        <v>0</v>
      </c>
      <c r="H13" s="434">
        <f t="shared" si="0"/>
        <v>0</v>
      </c>
    </row>
    <row r="14" spans="1:8">
      <c r="A14" s="344">
        <v>8</v>
      </c>
      <c r="B14" s="334" t="s">
        <v>55</v>
      </c>
      <c r="C14" s="433">
        <v>19748751.465093743</v>
      </c>
      <c r="D14" s="433">
        <v>538960612.37031329</v>
      </c>
      <c r="E14" s="433">
        <v>17654702.039999701</v>
      </c>
      <c r="F14" s="433">
        <v>0</v>
      </c>
      <c r="G14" s="433">
        <v>6789418.3300000038</v>
      </c>
      <c r="H14" s="434">
        <f t="shared" si="0"/>
        <v>541054661.7954073</v>
      </c>
    </row>
    <row r="15" spans="1:8">
      <c r="A15" s="344">
        <v>9</v>
      </c>
      <c r="B15" s="332" t="s">
        <v>56</v>
      </c>
      <c r="C15" s="433">
        <v>0</v>
      </c>
      <c r="D15" s="433">
        <v>0</v>
      </c>
      <c r="E15" s="433">
        <v>0</v>
      </c>
      <c r="F15" s="433">
        <v>0</v>
      </c>
      <c r="G15" s="433">
        <v>0</v>
      </c>
      <c r="H15" s="434">
        <f t="shared" si="0"/>
        <v>0</v>
      </c>
    </row>
    <row r="16" spans="1:8">
      <c r="A16" s="344">
        <v>10</v>
      </c>
      <c r="B16" s="335" t="s">
        <v>364</v>
      </c>
      <c r="C16" s="433">
        <v>11479169.62060605</v>
      </c>
      <c r="D16" s="433">
        <v>11517539.169421999</v>
      </c>
      <c r="E16" s="433">
        <v>7665998.0799999898</v>
      </c>
      <c r="F16" s="433">
        <v>0</v>
      </c>
      <c r="G16" s="433">
        <v>0</v>
      </c>
      <c r="H16" s="434">
        <f t="shared" si="0"/>
        <v>15330710.71002806</v>
      </c>
    </row>
    <row r="17" spans="1:8">
      <c r="A17" s="344">
        <v>11</v>
      </c>
      <c r="B17" s="332" t="s">
        <v>58</v>
      </c>
      <c r="C17" s="433">
        <v>0</v>
      </c>
      <c r="D17" s="433">
        <v>0</v>
      </c>
      <c r="E17" s="433">
        <v>0</v>
      </c>
      <c r="F17" s="433">
        <v>0</v>
      </c>
      <c r="G17" s="433">
        <v>0</v>
      </c>
      <c r="H17" s="434">
        <f t="shared" si="0"/>
        <v>0</v>
      </c>
    </row>
    <row r="18" spans="1:8">
      <c r="A18" s="344">
        <v>12</v>
      </c>
      <c r="B18" s="332" t="s">
        <v>59</v>
      </c>
      <c r="C18" s="433">
        <v>0</v>
      </c>
      <c r="D18" s="433">
        <v>0</v>
      </c>
      <c r="E18" s="433">
        <v>0</v>
      </c>
      <c r="F18" s="433">
        <v>0</v>
      </c>
      <c r="G18" s="433">
        <v>0</v>
      </c>
      <c r="H18" s="434">
        <f t="shared" si="0"/>
        <v>0</v>
      </c>
    </row>
    <row r="19" spans="1:8">
      <c r="A19" s="346">
        <v>13</v>
      </c>
      <c r="B19" s="334" t="s">
        <v>130</v>
      </c>
      <c r="C19" s="433">
        <v>0</v>
      </c>
      <c r="D19" s="433">
        <v>0</v>
      </c>
      <c r="E19" s="433">
        <v>0</v>
      </c>
      <c r="F19" s="433">
        <v>0</v>
      </c>
      <c r="G19" s="433">
        <v>0</v>
      </c>
      <c r="H19" s="434">
        <f t="shared" si="0"/>
        <v>0</v>
      </c>
    </row>
    <row r="20" spans="1:8">
      <c r="A20" s="344">
        <v>14</v>
      </c>
      <c r="B20" s="332" t="s">
        <v>61</v>
      </c>
      <c r="C20" s="433">
        <v>0</v>
      </c>
      <c r="D20" s="433">
        <v>0</v>
      </c>
      <c r="E20" s="433">
        <v>0</v>
      </c>
      <c r="F20" s="433">
        <v>0</v>
      </c>
      <c r="G20" s="433">
        <v>0</v>
      </c>
      <c r="H20" s="434">
        <f t="shared" si="0"/>
        <v>0</v>
      </c>
    </row>
    <row r="21" spans="1:8" s="238" customFormat="1">
      <c r="A21" s="347">
        <v>15</v>
      </c>
      <c r="B21" s="348" t="s">
        <v>62</v>
      </c>
      <c r="C21" s="435">
        <f t="shared" ref="C21:H21" si="1">SUM(C7:C15)+SUM(C17:C20)</f>
        <v>19748751.465093743</v>
      </c>
      <c r="D21" s="435">
        <f t="shared" si="1"/>
        <v>538960612.37031329</v>
      </c>
      <c r="E21" s="435">
        <f t="shared" si="1"/>
        <v>17654702.039999701</v>
      </c>
      <c r="F21" s="435">
        <f t="shared" si="1"/>
        <v>0</v>
      </c>
      <c r="G21" s="435">
        <f t="shared" si="1"/>
        <v>6789418.3300000038</v>
      </c>
      <c r="H21" s="436">
        <f t="shared" si="1"/>
        <v>541054661.7954073</v>
      </c>
    </row>
    <row r="22" spans="1:8">
      <c r="A22" s="349">
        <v>16</v>
      </c>
      <c r="B22" s="350" t="s">
        <v>365</v>
      </c>
      <c r="C22" s="433">
        <v>19748751.465093743</v>
      </c>
      <c r="D22" s="433">
        <v>538960612.37031329</v>
      </c>
      <c r="E22" s="433">
        <v>17654702.039999701</v>
      </c>
      <c r="F22" s="433">
        <v>0</v>
      </c>
      <c r="G22" s="433">
        <v>6789418.3300000038</v>
      </c>
      <c r="H22" s="434">
        <f>C22+D22-E22-F22</f>
        <v>541054661.7954073</v>
      </c>
    </row>
    <row r="23" spans="1:8">
      <c r="A23" s="349">
        <v>17</v>
      </c>
      <c r="B23" s="350" t="s">
        <v>366</v>
      </c>
      <c r="C23" s="433">
        <v>0</v>
      </c>
      <c r="D23" s="433">
        <v>0</v>
      </c>
      <c r="E23" s="433">
        <v>0</v>
      </c>
      <c r="F23" s="433">
        <v>0</v>
      </c>
      <c r="G23" s="433">
        <v>0</v>
      </c>
      <c r="H23" s="434">
        <f>C23+D23-E23-F23</f>
        <v>0</v>
      </c>
    </row>
    <row r="26" spans="1:8" ht="42.45" customHeight="1">
      <c r="B26" s="338" t="s">
        <v>449</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6"/>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2"/>
  <cols>
    <col min="1" max="1" width="11" style="327" bestFit="1" customWidth="1"/>
    <col min="2" max="2" width="93.44140625" style="327" customWidth="1"/>
    <col min="3" max="4" width="35" style="327" customWidth="1"/>
    <col min="5" max="5" width="15.109375" style="327" bestFit="1" customWidth="1"/>
    <col min="6" max="6" width="11.77734375" style="327" bestFit="1" customWidth="1"/>
    <col min="7" max="7" width="22" style="327" customWidth="1"/>
    <col min="8" max="8" width="19.88671875" style="327" customWidth="1"/>
    <col min="9" max="16384" width="9.21875" style="237"/>
  </cols>
  <sheetData>
    <row r="1" spans="1:8" ht="13.2">
      <c r="A1" s="560" t="s">
        <v>680</v>
      </c>
      <c r="B1" s="572" t="str">
        <f>'Info '!C2</f>
        <v>Crystal</v>
      </c>
      <c r="C1" s="339"/>
      <c r="D1" s="339"/>
      <c r="E1" s="339"/>
      <c r="F1" s="339"/>
      <c r="G1" s="339"/>
      <c r="H1" s="339"/>
    </row>
    <row r="2" spans="1:8">
      <c r="A2" s="571" t="s">
        <v>31</v>
      </c>
      <c r="B2" s="573">
        <f>'1. key ratios '!B2</f>
        <v>45930</v>
      </c>
      <c r="C2" s="339"/>
      <c r="D2" s="339"/>
      <c r="E2" s="339"/>
      <c r="F2" s="339"/>
      <c r="G2" s="339"/>
      <c r="H2" s="339"/>
    </row>
    <row r="3" spans="1:8">
      <c r="A3" s="329" t="s">
        <v>367</v>
      </c>
      <c r="B3" s="339"/>
      <c r="C3" s="339"/>
      <c r="D3" s="339"/>
      <c r="E3" s="339"/>
      <c r="F3" s="339"/>
      <c r="G3" s="339"/>
      <c r="H3" s="339"/>
    </row>
    <row r="4" spans="1:8">
      <c r="A4" s="340"/>
      <c r="B4" s="339"/>
      <c r="C4" s="341" t="s">
        <v>0</v>
      </c>
      <c r="D4" s="341" t="s">
        <v>1</v>
      </c>
      <c r="E4" s="341" t="s">
        <v>2</v>
      </c>
      <c r="F4" s="341" t="s">
        <v>3</v>
      </c>
      <c r="G4" s="341" t="s">
        <v>4</v>
      </c>
      <c r="H4" s="341" t="s">
        <v>6</v>
      </c>
    </row>
    <row r="5" spans="1:8" ht="41.55" customHeight="1">
      <c r="A5" s="742" t="s">
        <v>358</v>
      </c>
      <c r="B5" s="743"/>
      <c r="C5" s="756" t="s">
        <v>359</v>
      </c>
      <c r="D5" s="756"/>
      <c r="E5" s="756" t="s">
        <v>594</v>
      </c>
      <c r="F5" s="754" t="s">
        <v>360</v>
      </c>
      <c r="G5" s="754" t="s">
        <v>361</v>
      </c>
      <c r="H5" s="342" t="s">
        <v>593</v>
      </c>
    </row>
    <row r="6" spans="1:8" ht="22.8">
      <c r="A6" s="746"/>
      <c r="B6" s="747"/>
      <c r="C6" s="343" t="s">
        <v>362</v>
      </c>
      <c r="D6" s="343" t="s">
        <v>363</v>
      </c>
      <c r="E6" s="756"/>
      <c r="F6" s="755"/>
      <c r="G6" s="755"/>
      <c r="H6" s="342" t="s">
        <v>592</v>
      </c>
    </row>
    <row r="7" spans="1:8">
      <c r="A7" s="345">
        <v>1</v>
      </c>
      <c r="B7" s="352" t="s">
        <v>453</v>
      </c>
      <c r="C7" s="433">
        <v>0</v>
      </c>
      <c r="D7" s="433">
        <v>0</v>
      </c>
      <c r="E7" s="433">
        <v>0</v>
      </c>
      <c r="F7" s="433">
        <v>0</v>
      </c>
      <c r="G7" s="433">
        <v>0</v>
      </c>
      <c r="H7" s="434">
        <f t="shared" ref="H7:H34" si="0">C7+D7-E7-F7</f>
        <v>0</v>
      </c>
    </row>
    <row r="8" spans="1:8">
      <c r="A8" s="345">
        <v>2</v>
      </c>
      <c r="B8" s="352" t="s">
        <v>368</v>
      </c>
      <c r="C8" s="433">
        <v>0</v>
      </c>
      <c r="D8" s="433">
        <v>0</v>
      </c>
      <c r="E8" s="433">
        <v>0</v>
      </c>
      <c r="F8" s="433">
        <v>0</v>
      </c>
      <c r="G8" s="433">
        <v>0</v>
      </c>
      <c r="H8" s="434">
        <f t="shared" si="0"/>
        <v>0</v>
      </c>
    </row>
    <row r="9" spans="1:8">
      <c r="A9" s="345">
        <v>3</v>
      </c>
      <c r="B9" s="352" t="s">
        <v>369</v>
      </c>
      <c r="C9" s="433">
        <v>0</v>
      </c>
      <c r="D9" s="433">
        <v>0</v>
      </c>
      <c r="E9" s="433">
        <v>0</v>
      </c>
      <c r="F9" s="433">
        <v>0</v>
      </c>
      <c r="G9" s="433">
        <v>0</v>
      </c>
      <c r="H9" s="434">
        <f t="shared" si="0"/>
        <v>0</v>
      </c>
    </row>
    <row r="10" spans="1:8">
      <c r="A10" s="345">
        <v>4</v>
      </c>
      <c r="B10" s="352" t="s">
        <v>454</v>
      </c>
      <c r="C10" s="433">
        <v>0</v>
      </c>
      <c r="D10" s="433">
        <v>0</v>
      </c>
      <c r="E10" s="433">
        <v>0</v>
      </c>
      <c r="F10" s="433">
        <v>0</v>
      </c>
      <c r="G10" s="433">
        <v>0</v>
      </c>
      <c r="H10" s="434">
        <f t="shared" si="0"/>
        <v>0</v>
      </c>
    </row>
    <row r="11" spans="1:8">
      <c r="A11" s="345">
        <v>5</v>
      </c>
      <c r="B11" s="352" t="s">
        <v>370</v>
      </c>
      <c r="C11" s="433">
        <v>0</v>
      </c>
      <c r="D11" s="433">
        <v>0</v>
      </c>
      <c r="E11" s="433">
        <v>0</v>
      </c>
      <c r="F11" s="433">
        <v>0</v>
      </c>
      <c r="G11" s="433">
        <v>0</v>
      </c>
      <c r="H11" s="434">
        <f t="shared" si="0"/>
        <v>0</v>
      </c>
    </row>
    <row r="12" spans="1:8">
      <c r="A12" s="345">
        <v>6</v>
      </c>
      <c r="B12" s="352" t="s">
        <v>371</v>
      </c>
      <c r="C12" s="433">
        <v>0</v>
      </c>
      <c r="D12" s="433">
        <v>0</v>
      </c>
      <c r="E12" s="433">
        <v>0</v>
      </c>
      <c r="F12" s="433">
        <v>0</v>
      </c>
      <c r="G12" s="433">
        <v>0</v>
      </c>
      <c r="H12" s="434">
        <f t="shared" si="0"/>
        <v>0</v>
      </c>
    </row>
    <row r="13" spans="1:8">
      <c r="A13" s="345">
        <v>7</v>
      </c>
      <c r="B13" s="352" t="s">
        <v>372</v>
      </c>
      <c r="C13" s="433">
        <v>0</v>
      </c>
      <c r="D13" s="433">
        <v>0</v>
      </c>
      <c r="E13" s="433">
        <v>0</v>
      </c>
      <c r="F13" s="433">
        <v>0</v>
      </c>
      <c r="G13" s="433">
        <v>0</v>
      </c>
      <c r="H13" s="434">
        <f t="shared" si="0"/>
        <v>0</v>
      </c>
    </row>
    <row r="14" spans="1:8">
      <c r="A14" s="345">
        <v>8</v>
      </c>
      <c r="B14" s="352" t="s">
        <v>373</v>
      </c>
      <c r="C14" s="433">
        <v>0</v>
      </c>
      <c r="D14" s="433">
        <v>0</v>
      </c>
      <c r="E14" s="433">
        <v>0</v>
      </c>
      <c r="F14" s="433">
        <v>0</v>
      </c>
      <c r="G14" s="433">
        <v>0</v>
      </c>
      <c r="H14" s="434">
        <f t="shared" si="0"/>
        <v>0</v>
      </c>
    </row>
    <row r="15" spans="1:8">
      <c r="A15" s="345">
        <v>9</v>
      </c>
      <c r="B15" s="352" t="s">
        <v>374</v>
      </c>
      <c r="C15" s="433">
        <v>0</v>
      </c>
      <c r="D15" s="433">
        <v>0</v>
      </c>
      <c r="E15" s="433">
        <v>0</v>
      </c>
      <c r="F15" s="433">
        <v>0</v>
      </c>
      <c r="G15" s="433">
        <v>0</v>
      </c>
      <c r="H15" s="434">
        <f t="shared" si="0"/>
        <v>0</v>
      </c>
    </row>
    <row r="16" spans="1:8">
      <c r="A16" s="345">
        <v>10</v>
      </c>
      <c r="B16" s="352" t="s">
        <v>375</v>
      </c>
      <c r="C16" s="433">
        <v>0</v>
      </c>
      <c r="D16" s="433">
        <v>0</v>
      </c>
      <c r="E16" s="433">
        <v>0</v>
      </c>
      <c r="F16" s="433">
        <v>0</v>
      </c>
      <c r="G16" s="433">
        <v>0</v>
      </c>
      <c r="H16" s="434">
        <f t="shared" si="0"/>
        <v>0</v>
      </c>
    </row>
    <row r="17" spans="1:8">
      <c r="A17" s="345">
        <v>11</v>
      </c>
      <c r="B17" s="352" t="s">
        <v>376</v>
      </c>
      <c r="C17" s="433">
        <v>0</v>
      </c>
      <c r="D17" s="433">
        <v>0</v>
      </c>
      <c r="E17" s="433">
        <v>0</v>
      </c>
      <c r="F17" s="433">
        <v>0</v>
      </c>
      <c r="G17" s="433">
        <v>0</v>
      </c>
      <c r="H17" s="434">
        <f t="shared" si="0"/>
        <v>0</v>
      </c>
    </row>
    <row r="18" spans="1:8">
      <c r="A18" s="345">
        <v>12</v>
      </c>
      <c r="B18" s="352" t="s">
        <v>377</v>
      </c>
      <c r="C18" s="433">
        <v>2598378.2519955165</v>
      </c>
      <c r="D18" s="433">
        <v>61781502.728429191</v>
      </c>
      <c r="E18" s="433">
        <v>2193315.3100000098</v>
      </c>
      <c r="F18" s="433">
        <v>0</v>
      </c>
      <c r="G18" s="433">
        <v>1155281.5200000005</v>
      </c>
      <c r="H18" s="434">
        <f t="shared" si="0"/>
        <v>62186565.6704247</v>
      </c>
    </row>
    <row r="19" spans="1:8">
      <c r="A19" s="345">
        <v>13</v>
      </c>
      <c r="B19" s="352" t="s">
        <v>378</v>
      </c>
      <c r="C19" s="433">
        <v>589119.10811165266</v>
      </c>
      <c r="D19" s="433">
        <v>13803905.131058356</v>
      </c>
      <c r="E19" s="433">
        <v>452679.42000000097</v>
      </c>
      <c r="F19" s="433">
        <v>0</v>
      </c>
      <c r="G19" s="433">
        <v>366299.44000000006</v>
      </c>
      <c r="H19" s="434">
        <f t="shared" si="0"/>
        <v>13940344.819170007</v>
      </c>
    </row>
    <row r="20" spans="1:8">
      <c r="A20" s="345">
        <v>14</v>
      </c>
      <c r="B20" s="352" t="s">
        <v>379</v>
      </c>
      <c r="C20" s="433">
        <v>0</v>
      </c>
      <c r="D20" s="433">
        <v>0</v>
      </c>
      <c r="E20" s="433">
        <v>0</v>
      </c>
      <c r="F20" s="433">
        <v>0</v>
      </c>
      <c r="G20" s="433">
        <v>0</v>
      </c>
      <c r="H20" s="434">
        <f t="shared" si="0"/>
        <v>0</v>
      </c>
    </row>
    <row r="21" spans="1:8">
      <c r="A21" s="345">
        <v>15</v>
      </c>
      <c r="B21" s="352" t="s">
        <v>380</v>
      </c>
      <c r="C21" s="433">
        <v>0</v>
      </c>
      <c r="D21" s="433">
        <v>0</v>
      </c>
      <c r="E21" s="433">
        <v>0</v>
      </c>
      <c r="F21" s="433">
        <v>0</v>
      </c>
      <c r="G21" s="433">
        <v>0</v>
      </c>
      <c r="H21" s="434">
        <f t="shared" si="0"/>
        <v>0</v>
      </c>
    </row>
    <row r="22" spans="1:8">
      <c r="A22" s="345">
        <v>16</v>
      </c>
      <c r="B22" s="352" t="s">
        <v>381</v>
      </c>
      <c r="C22" s="433">
        <v>0</v>
      </c>
      <c r="D22" s="433">
        <v>0</v>
      </c>
      <c r="E22" s="433">
        <v>0</v>
      </c>
      <c r="F22" s="433">
        <v>0</v>
      </c>
      <c r="G22" s="433">
        <v>0</v>
      </c>
      <c r="H22" s="434">
        <f t="shared" si="0"/>
        <v>0</v>
      </c>
    </row>
    <row r="23" spans="1:8">
      <c r="A23" s="345">
        <v>17</v>
      </c>
      <c r="B23" s="352" t="s">
        <v>457</v>
      </c>
      <c r="C23" s="433">
        <v>0</v>
      </c>
      <c r="D23" s="433">
        <v>0</v>
      </c>
      <c r="E23" s="433">
        <v>0</v>
      </c>
      <c r="F23" s="433">
        <v>0</v>
      </c>
      <c r="G23" s="433">
        <v>0</v>
      </c>
      <c r="H23" s="434">
        <f t="shared" si="0"/>
        <v>0</v>
      </c>
    </row>
    <row r="24" spans="1:8">
      <c r="A24" s="345">
        <v>18</v>
      </c>
      <c r="B24" s="352" t="s">
        <v>382</v>
      </c>
      <c r="C24" s="433">
        <v>0</v>
      </c>
      <c r="D24" s="433">
        <v>0</v>
      </c>
      <c r="E24" s="433">
        <v>0</v>
      </c>
      <c r="F24" s="433">
        <v>0</v>
      </c>
      <c r="G24" s="433">
        <v>0</v>
      </c>
      <c r="H24" s="434">
        <f t="shared" si="0"/>
        <v>0</v>
      </c>
    </row>
    <row r="25" spans="1:8">
      <c r="A25" s="345">
        <v>19</v>
      </c>
      <c r="B25" s="352" t="s">
        <v>383</v>
      </c>
      <c r="C25" s="433">
        <v>0</v>
      </c>
      <c r="D25" s="433">
        <v>0</v>
      </c>
      <c r="E25" s="433">
        <v>0</v>
      </c>
      <c r="F25" s="433">
        <v>0</v>
      </c>
      <c r="G25" s="433">
        <v>0</v>
      </c>
      <c r="H25" s="434">
        <f t="shared" si="0"/>
        <v>0</v>
      </c>
    </row>
    <row r="26" spans="1:8">
      <c r="A26" s="345">
        <v>20</v>
      </c>
      <c r="B26" s="352" t="s">
        <v>456</v>
      </c>
      <c r="C26" s="433">
        <v>0</v>
      </c>
      <c r="D26" s="433">
        <v>0</v>
      </c>
      <c r="E26" s="433">
        <v>0</v>
      </c>
      <c r="F26" s="433">
        <v>0</v>
      </c>
      <c r="G26" s="433">
        <v>0</v>
      </c>
      <c r="H26" s="434">
        <f t="shared" si="0"/>
        <v>0</v>
      </c>
    </row>
    <row r="27" spans="1:8">
      <c r="A27" s="345">
        <v>21</v>
      </c>
      <c r="B27" s="352" t="s">
        <v>384</v>
      </c>
      <c r="C27" s="433">
        <v>0</v>
      </c>
      <c r="D27" s="433">
        <v>0</v>
      </c>
      <c r="E27" s="433">
        <v>0</v>
      </c>
      <c r="F27" s="433">
        <v>0</v>
      </c>
      <c r="G27" s="433">
        <v>0</v>
      </c>
      <c r="H27" s="434">
        <f t="shared" si="0"/>
        <v>0</v>
      </c>
    </row>
    <row r="28" spans="1:8">
      <c r="A28" s="345">
        <v>22</v>
      </c>
      <c r="B28" s="352" t="s">
        <v>385</v>
      </c>
      <c r="C28" s="433">
        <v>0</v>
      </c>
      <c r="D28" s="433">
        <v>0</v>
      </c>
      <c r="E28" s="433">
        <v>0</v>
      </c>
      <c r="F28" s="433">
        <v>0</v>
      </c>
      <c r="G28" s="433">
        <v>0</v>
      </c>
      <c r="H28" s="434">
        <f t="shared" si="0"/>
        <v>0</v>
      </c>
    </row>
    <row r="29" spans="1:8">
      <c r="A29" s="345">
        <v>23</v>
      </c>
      <c r="B29" s="352" t="s">
        <v>386</v>
      </c>
      <c r="C29" s="433">
        <v>6771216.6502085831</v>
      </c>
      <c r="D29" s="433">
        <v>162700945.30482545</v>
      </c>
      <c r="E29" s="433">
        <v>5116597.7700000601</v>
      </c>
      <c r="F29" s="433">
        <v>0</v>
      </c>
      <c r="G29" s="433">
        <v>2529881.3599999985</v>
      </c>
      <c r="H29" s="434">
        <f t="shared" si="0"/>
        <v>164355564.18503398</v>
      </c>
    </row>
    <row r="30" spans="1:8">
      <c r="A30" s="345">
        <v>24</v>
      </c>
      <c r="B30" s="352" t="s">
        <v>455</v>
      </c>
      <c r="C30" s="433">
        <v>4060749.4376438153</v>
      </c>
      <c r="D30" s="433">
        <v>96774900.642277554</v>
      </c>
      <c r="E30" s="433">
        <v>5316301.5100000203</v>
      </c>
      <c r="F30" s="433">
        <v>0</v>
      </c>
      <c r="G30" s="433">
        <v>1084271.6999999997</v>
      </c>
      <c r="H30" s="434">
        <f t="shared" si="0"/>
        <v>95519348.569921345</v>
      </c>
    </row>
    <row r="31" spans="1:8">
      <c r="A31" s="345">
        <v>25</v>
      </c>
      <c r="B31" s="352" t="s">
        <v>387</v>
      </c>
      <c r="C31" s="433">
        <v>5729288.017134171</v>
      </c>
      <c r="D31" s="433">
        <v>203899358.56372428</v>
      </c>
      <c r="E31" s="433">
        <v>4575808.0300000301</v>
      </c>
      <c r="F31" s="433">
        <v>0</v>
      </c>
      <c r="G31" s="433">
        <v>1653684.3100000003</v>
      </c>
      <c r="H31" s="434">
        <f t="shared" si="0"/>
        <v>205052838.55085841</v>
      </c>
    </row>
    <row r="32" spans="1:8">
      <c r="A32" s="345">
        <v>26</v>
      </c>
      <c r="B32" s="352" t="s">
        <v>452</v>
      </c>
      <c r="C32" s="433">
        <v>0</v>
      </c>
      <c r="D32" s="433">
        <v>0</v>
      </c>
      <c r="E32" s="433">
        <v>0</v>
      </c>
      <c r="F32" s="433">
        <v>0</v>
      </c>
      <c r="G32" s="433">
        <v>0</v>
      </c>
      <c r="H32" s="434">
        <f t="shared" si="0"/>
        <v>0</v>
      </c>
    </row>
    <row r="33" spans="1:8">
      <c r="A33" s="345">
        <v>27</v>
      </c>
      <c r="B33" s="345" t="s">
        <v>388</v>
      </c>
      <c r="C33" s="433">
        <v>0</v>
      </c>
      <c r="D33" s="433">
        <v>0</v>
      </c>
      <c r="E33" s="433">
        <v>0</v>
      </c>
      <c r="F33" s="433">
        <v>0</v>
      </c>
      <c r="G33" s="433">
        <v>0</v>
      </c>
      <c r="H33" s="434">
        <f t="shared" si="0"/>
        <v>0</v>
      </c>
    </row>
    <row r="34" spans="1:8" s="238" customFormat="1">
      <c r="A34" s="348">
        <v>28</v>
      </c>
      <c r="B34" s="348" t="s">
        <v>62</v>
      </c>
      <c r="C34" s="435">
        <f>SUM(C7:C33)</f>
        <v>19748751.465093739</v>
      </c>
      <c r="D34" s="435">
        <f>SUM(D7:D33)</f>
        <v>538960612.37031484</v>
      </c>
      <c r="E34" s="435">
        <f>SUM(E7:E33)</f>
        <v>17654702.040000122</v>
      </c>
      <c r="F34" s="435">
        <f>SUM(F7:F33)</f>
        <v>0</v>
      </c>
      <c r="G34" s="435">
        <f>SUM(G7:G33)</f>
        <v>6789418.3299999991</v>
      </c>
      <c r="H34" s="436">
        <f t="shared" si="0"/>
        <v>541054661.79540849</v>
      </c>
    </row>
    <row r="36" spans="1:8">
      <c r="B36" s="353"/>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D15"/>
  <sheetViews>
    <sheetView showGridLines="0" zoomScale="80" zoomScaleNormal="80" workbookViewId="0"/>
  </sheetViews>
  <sheetFormatPr defaultColWidth="9.21875" defaultRowHeight="12"/>
  <cols>
    <col min="1" max="1" width="11.77734375" style="327" bestFit="1" customWidth="1"/>
    <col min="2" max="2" width="79.109375" style="327" bestFit="1" customWidth="1"/>
    <col min="3" max="4" width="27.88671875" style="327" customWidth="1"/>
    <col min="5" max="16384" width="9.21875" style="237"/>
  </cols>
  <sheetData>
    <row r="1" spans="1:4" ht="13.2">
      <c r="A1" s="560" t="s">
        <v>680</v>
      </c>
      <c r="B1" s="574" t="str">
        <f>'Info '!C2</f>
        <v>Crystal</v>
      </c>
    </row>
    <row r="2" spans="1:4">
      <c r="A2" s="571" t="s">
        <v>31</v>
      </c>
      <c r="B2" s="573">
        <f>'1. key ratios '!B2</f>
        <v>45930</v>
      </c>
    </row>
    <row r="3" spans="1:4">
      <c r="A3" s="329" t="s">
        <v>389</v>
      </c>
    </row>
    <row r="5" spans="1:4">
      <c r="A5" s="757" t="s">
        <v>601</v>
      </c>
      <c r="B5" s="757"/>
      <c r="C5" s="330" t="s">
        <v>406</v>
      </c>
      <c r="D5" s="330" t="s">
        <v>445</v>
      </c>
    </row>
    <row r="6" spans="1:4">
      <c r="A6" s="354">
        <v>1</v>
      </c>
      <c r="B6" s="355" t="s">
        <v>600</v>
      </c>
      <c r="C6" s="578">
        <v>16742112.4</v>
      </c>
      <c r="D6" s="578">
        <v>0</v>
      </c>
    </row>
    <row r="7" spans="1:4">
      <c r="A7" s="357">
        <v>2</v>
      </c>
      <c r="B7" s="355" t="s">
        <v>599</v>
      </c>
      <c r="C7" s="577">
        <f>SUM(C8:C9)</f>
        <v>9861653.9199999999</v>
      </c>
      <c r="D7" s="577">
        <f>SUM(D8:D9)</f>
        <v>0</v>
      </c>
    </row>
    <row r="8" spans="1:4">
      <c r="A8" s="358">
        <v>2.1</v>
      </c>
      <c r="B8" s="359" t="s">
        <v>460</v>
      </c>
      <c r="C8" s="577">
        <v>1348573.28</v>
      </c>
      <c r="D8" s="577">
        <v>0</v>
      </c>
    </row>
    <row r="9" spans="1:4">
      <c r="A9" s="358">
        <v>2.2000000000000002</v>
      </c>
      <c r="B9" s="359" t="s">
        <v>458</v>
      </c>
      <c r="C9" s="577">
        <v>8513080.6400000006</v>
      </c>
      <c r="D9" s="577">
        <v>0</v>
      </c>
    </row>
    <row r="10" spans="1:4">
      <c r="A10" s="354">
        <v>3</v>
      </c>
      <c r="B10" s="355" t="s">
        <v>598</v>
      </c>
      <c r="C10" s="577">
        <f>SUM(C11:C13)</f>
        <v>8949064.2799999993</v>
      </c>
      <c r="D10" s="577">
        <f>SUM(D11:D13)</f>
        <v>0</v>
      </c>
    </row>
    <row r="11" spans="1:4">
      <c r="A11" s="358">
        <v>3.1</v>
      </c>
      <c r="B11" s="359" t="s">
        <v>391</v>
      </c>
      <c r="C11" s="577">
        <v>6789418.3300000001</v>
      </c>
      <c r="D11" s="577">
        <v>0</v>
      </c>
    </row>
    <row r="12" spans="1:4">
      <c r="A12" s="358">
        <v>3.2</v>
      </c>
      <c r="B12" s="359" t="s">
        <v>597</v>
      </c>
      <c r="C12" s="577">
        <v>1138150.77</v>
      </c>
      <c r="D12" s="577">
        <v>0</v>
      </c>
    </row>
    <row r="13" spans="1:4">
      <c r="A13" s="358">
        <v>3.3</v>
      </c>
      <c r="B13" s="359" t="s">
        <v>459</v>
      </c>
      <c r="C13" s="577">
        <v>1021495.18</v>
      </c>
      <c r="D13" s="577">
        <v>0</v>
      </c>
    </row>
    <row r="14" spans="1:4">
      <c r="A14" s="357">
        <v>4</v>
      </c>
      <c r="B14" s="360" t="s">
        <v>596</v>
      </c>
      <c r="C14" s="577">
        <v>0</v>
      </c>
      <c r="D14" s="577">
        <v>0</v>
      </c>
    </row>
    <row r="15" spans="1:4">
      <c r="A15" s="361">
        <v>5</v>
      </c>
      <c r="B15" s="355" t="s">
        <v>595</v>
      </c>
      <c r="C15" s="578">
        <f>C6+C7-C10+C14</f>
        <v>17654702.039999999</v>
      </c>
      <c r="D15" s="578">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D23"/>
  <sheetViews>
    <sheetView showGridLines="0" zoomScale="80" zoomScaleNormal="80" workbookViewId="0"/>
  </sheetViews>
  <sheetFormatPr defaultColWidth="9.21875" defaultRowHeight="12"/>
  <cols>
    <col min="1" max="1" width="11.77734375" style="327" bestFit="1" customWidth="1"/>
    <col min="2" max="2" width="69.5546875" style="327" bestFit="1" customWidth="1"/>
    <col min="3" max="3" width="37" style="327" customWidth="1"/>
    <col min="4" max="4" width="50.5546875" style="327" customWidth="1"/>
    <col min="5" max="16384" width="9.21875" style="237"/>
  </cols>
  <sheetData>
    <row r="1" spans="1:4" ht="13.2">
      <c r="A1" s="575" t="s">
        <v>680</v>
      </c>
      <c r="B1" s="574" t="str">
        <f>'Info '!C2</f>
        <v>Crystal</v>
      </c>
    </row>
    <row r="2" spans="1:4">
      <c r="A2" s="576" t="s">
        <v>31</v>
      </c>
      <c r="B2" s="573">
        <f>'1. key ratios '!B2</f>
        <v>45930</v>
      </c>
    </row>
    <row r="3" spans="1:4">
      <c r="A3" s="329" t="s">
        <v>393</v>
      </c>
    </row>
    <row r="4" spans="1:4">
      <c r="A4" s="329"/>
    </row>
    <row r="5" spans="1:4" ht="15" customHeight="1">
      <c r="A5" s="758" t="s">
        <v>461</v>
      </c>
      <c r="B5" s="759"/>
      <c r="C5" s="762" t="s">
        <v>394</v>
      </c>
      <c r="D5" s="762" t="s">
        <v>395</v>
      </c>
    </row>
    <row r="6" spans="1:4">
      <c r="A6" s="760"/>
      <c r="B6" s="761"/>
      <c r="C6" s="762"/>
      <c r="D6" s="762"/>
    </row>
    <row r="7" spans="1:4">
      <c r="A7" s="333">
        <v>1</v>
      </c>
      <c r="B7" s="333" t="s">
        <v>390</v>
      </c>
      <c r="C7" s="578">
        <v>17778241.68053003</v>
      </c>
      <c r="D7" s="362"/>
    </row>
    <row r="8" spans="1:4">
      <c r="A8" s="356">
        <v>2</v>
      </c>
      <c r="B8" s="356" t="s">
        <v>396</v>
      </c>
      <c r="C8" s="577">
        <v>9569656.3638293147</v>
      </c>
      <c r="D8" s="362"/>
    </row>
    <row r="9" spans="1:4">
      <c r="A9" s="356">
        <v>3</v>
      </c>
      <c r="B9" s="363" t="s">
        <v>604</v>
      </c>
      <c r="C9" s="577">
        <v>0</v>
      </c>
      <c r="D9" s="362"/>
    </row>
    <row r="10" spans="1:4">
      <c r="A10" s="356">
        <v>4</v>
      </c>
      <c r="B10" s="356" t="s">
        <v>397</v>
      </c>
      <c r="C10" s="577">
        <f>SUM(C11:C17)</f>
        <v>7599146.5792655703</v>
      </c>
      <c r="D10" s="362"/>
    </row>
    <row r="11" spans="1:4">
      <c r="A11" s="356">
        <v>5</v>
      </c>
      <c r="B11" s="364" t="s">
        <v>603</v>
      </c>
      <c r="C11" s="577">
        <v>288996.99685774097</v>
      </c>
      <c r="D11" s="362"/>
    </row>
    <row r="12" spans="1:4">
      <c r="A12" s="356">
        <v>6</v>
      </c>
      <c r="B12" s="364" t="s">
        <v>398</v>
      </c>
      <c r="C12" s="577">
        <v>1122323.6249879301</v>
      </c>
      <c r="D12" s="362"/>
    </row>
    <row r="13" spans="1:4">
      <c r="A13" s="356">
        <v>7</v>
      </c>
      <c r="B13" s="364" t="s">
        <v>401</v>
      </c>
      <c r="C13" s="577">
        <v>3380620.16266781</v>
      </c>
      <c r="D13" s="362"/>
    </row>
    <row r="14" spans="1:4">
      <c r="A14" s="356">
        <v>8</v>
      </c>
      <c r="B14" s="364" t="s">
        <v>399</v>
      </c>
      <c r="C14" s="577">
        <v>0</v>
      </c>
      <c r="D14" s="356"/>
    </row>
    <row r="15" spans="1:4">
      <c r="A15" s="356">
        <v>9</v>
      </c>
      <c r="B15" s="364" t="s">
        <v>400</v>
      </c>
      <c r="C15" s="577">
        <v>2807205.7947520898</v>
      </c>
      <c r="D15" s="356"/>
    </row>
    <row r="16" spans="1:4">
      <c r="A16" s="356">
        <v>10</v>
      </c>
      <c r="B16" s="364" t="s">
        <v>402</v>
      </c>
      <c r="C16" s="577">
        <v>0</v>
      </c>
      <c r="D16" s="356"/>
    </row>
    <row r="17" spans="1:4">
      <c r="A17" s="356">
        <v>11</v>
      </c>
      <c r="B17" s="364" t="s">
        <v>602</v>
      </c>
      <c r="C17" s="577">
        <v>0</v>
      </c>
      <c r="D17" s="362"/>
    </row>
    <row r="18" spans="1:4">
      <c r="A18" s="333">
        <v>12</v>
      </c>
      <c r="B18" s="365" t="s">
        <v>392</v>
      </c>
      <c r="C18" s="578">
        <f>C7+C8+C9-C10</f>
        <v>19748751.465093777</v>
      </c>
      <c r="D18" s="362"/>
    </row>
    <row r="21" spans="1:4">
      <c r="B21" s="328"/>
    </row>
    <row r="22" spans="1:4">
      <c r="B22" s="328"/>
    </row>
    <row r="23" spans="1:4">
      <c r="B23" s="329"/>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AB28"/>
  <sheetViews>
    <sheetView showGridLines="0"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1.4"/>
  <cols>
    <col min="1" max="1" width="11.77734375" style="339" bestFit="1" customWidth="1"/>
    <col min="2" max="2" width="63.88671875" style="339" customWidth="1"/>
    <col min="3" max="3" width="15.5546875" style="339" customWidth="1"/>
    <col min="4" max="18" width="22.21875" style="339" customWidth="1"/>
    <col min="19" max="19" width="23.21875" style="339" bestFit="1" customWidth="1"/>
    <col min="20" max="26" width="22.21875" style="339" customWidth="1"/>
    <col min="27" max="27" width="23.21875" style="339" bestFit="1" customWidth="1"/>
    <col min="28" max="28" width="20" style="339" customWidth="1"/>
    <col min="29" max="16384" width="9.21875" style="339"/>
  </cols>
  <sheetData>
    <row r="1" spans="1:28" ht="13.2">
      <c r="A1" s="560" t="s">
        <v>680</v>
      </c>
      <c r="B1" s="574" t="str">
        <f>'Info '!C2</f>
        <v>Crystal</v>
      </c>
    </row>
    <row r="2" spans="1:28" ht="12">
      <c r="A2" s="571" t="s">
        <v>31</v>
      </c>
      <c r="B2" s="573">
        <f>'1. key ratios '!B2</f>
        <v>45930</v>
      </c>
      <c r="C2" s="340"/>
    </row>
    <row r="3" spans="1:28" ht="12">
      <c r="A3" s="329" t="s">
        <v>403</v>
      </c>
    </row>
    <row r="5" spans="1:28" ht="15" customHeight="1">
      <c r="A5" s="764" t="s">
        <v>613</v>
      </c>
      <c r="B5" s="765"/>
      <c r="C5" s="770" t="s">
        <v>404</v>
      </c>
      <c r="D5" s="771"/>
      <c r="E5" s="771"/>
      <c r="F5" s="771"/>
      <c r="G5" s="771"/>
      <c r="H5" s="771"/>
      <c r="I5" s="771"/>
      <c r="J5" s="771"/>
      <c r="K5" s="771"/>
      <c r="L5" s="771"/>
      <c r="M5" s="771"/>
      <c r="N5" s="771"/>
      <c r="O5" s="771"/>
      <c r="P5" s="771"/>
      <c r="Q5" s="771"/>
      <c r="R5" s="771"/>
      <c r="S5" s="771"/>
      <c r="T5" s="366"/>
      <c r="U5" s="366"/>
      <c r="V5" s="366"/>
      <c r="W5" s="366"/>
      <c r="X5" s="366"/>
      <c r="Y5" s="366"/>
      <c r="Z5" s="366"/>
      <c r="AA5" s="367"/>
      <c r="AB5" s="373"/>
    </row>
    <row r="6" spans="1:28" ht="12" customHeight="1">
      <c r="A6" s="766"/>
      <c r="B6" s="767"/>
      <c r="C6" s="772" t="s">
        <v>62</v>
      </c>
      <c r="D6" s="774" t="s">
        <v>695</v>
      </c>
      <c r="E6" s="774"/>
      <c r="F6" s="774"/>
      <c r="G6" s="774"/>
      <c r="H6" s="774" t="s">
        <v>696</v>
      </c>
      <c r="I6" s="774"/>
      <c r="J6" s="774"/>
      <c r="K6" s="774"/>
      <c r="L6" s="368"/>
      <c r="M6" s="775" t="s">
        <v>697</v>
      </c>
      <c r="N6" s="775"/>
      <c r="O6" s="775"/>
      <c r="P6" s="775"/>
      <c r="Q6" s="775"/>
      <c r="R6" s="775"/>
      <c r="S6" s="755"/>
      <c r="T6" s="369"/>
      <c r="U6" s="763" t="s">
        <v>612</v>
      </c>
      <c r="V6" s="763"/>
      <c r="W6" s="763"/>
      <c r="X6" s="763"/>
      <c r="Y6" s="763"/>
      <c r="Z6" s="763"/>
      <c r="AA6" s="756"/>
      <c r="AB6" s="368"/>
    </row>
    <row r="7" spans="1:28" ht="22.8">
      <c r="A7" s="768"/>
      <c r="B7" s="769"/>
      <c r="C7" s="773"/>
      <c r="D7" s="370"/>
      <c r="E7" s="342" t="s">
        <v>405</v>
      </c>
      <c r="F7" s="342" t="s">
        <v>610</v>
      </c>
      <c r="G7" s="341" t="s">
        <v>611</v>
      </c>
      <c r="H7" s="340"/>
      <c r="I7" s="342" t="s">
        <v>405</v>
      </c>
      <c r="J7" s="342" t="s">
        <v>610</v>
      </c>
      <c r="K7" s="341" t="s">
        <v>611</v>
      </c>
      <c r="L7" s="371"/>
      <c r="M7" s="342" t="s">
        <v>405</v>
      </c>
      <c r="N7" s="342" t="s">
        <v>610</v>
      </c>
      <c r="O7" s="342" t="s">
        <v>609</v>
      </c>
      <c r="P7" s="342" t="s">
        <v>608</v>
      </c>
      <c r="Q7" s="342" t="s">
        <v>607</v>
      </c>
      <c r="R7" s="342" t="s">
        <v>606</v>
      </c>
      <c r="S7" s="342" t="s">
        <v>605</v>
      </c>
      <c r="T7" s="371"/>
      <c r="U7" s="342" t="s">
        <v>405</v>
      </c>
      <c r="V7" s="342" t="s">
        <v>610</v>
      </c>
      <c r="W7" s="342" t="s">
        <v>609</v>
      </c>
      <c r="X7" s="342" t="s">
        <v>608</v>
      </c>
      <c r="Y7" s="342" t="s">
        <v>607</v>
      </c>
      <c r="Z7" s="342" t="s">
        <v>606</v>
      </c>
      <c r="AA7" s="342" t="s">
        <v>605</v>
      </c>
      <c r="AB7" s="373"/>
    </row>
    <row r="8" spans="1:28" ht="12">
      <c r="A8" s="372">
        <v>1</v>
      </c>
      <c r="B8" s="348" t="s">
        <v>406</v>
      </c>
      <c r="C8" s="437">
        <f>SUM(C9:C14)</f>
        <v>558709363.8354156</v>
      </c>
      <c r="D8" s="437">
        <f>SUM(D9:D14)</f>
        <v>508496993.95171702</v>
      </c>
      <c r="E8" s="437">
        <f t="shared" ref="E8:AA8" si="0">SUM(E9:E14)</f>
        <v>2103621.3776982422</v>
      </c>
      <c r="F8" s="437">
        <f t="shared" si="0"/>
        <v>0</v>
      </c>
      <c r="G8" s="437">
        <f t="shared" si="0"/>
        <v>0</v>
      </c>
      <c r="H8" s="437">
        <f t="shared" si="0"/>
        <v>30463618.418604821</v>
      </c>
      <c r="I8" s="437">
        <f t="shared" si="0"/>
        <v>5228394.5212216228</v>
      </c>
      <c r="J8" s="437">
        <f t="shared" si="0"/>
        <v>4185523.2705021249</v>
      </c>
      <c r="K8" s="437">
        <f t="shared" si="0"/>
        <v>0</v>
      </c>
      <c r="L8" s="437">
        <f t="shared" si="0"/>
        <v>19748751.465093754</v>
      </c>
      <c r="M8" s="437">
        <f t="shared" si="0"/>
        <v>2125338.9381396738</v>
      </c>
      <c r="N8" s="437">
        <f t="shared" si="0"/>
        <v>1814030.4637108734</v>
      </c>
      <c r="O8" s="437">
        <f t="shared" si="0"/>
        <v>7539800.2187555013</v>
      </c>
      <c r="P8" s="437">
        <f t="shared" si="0"/>
        <v>0</v>
      </c>
      <c r="Q8" s="437">
        <f t="shared" si="0"/>
        <v>0</v>
      </c>
      <c r="R8" s="437">
        <f t="shared" si="0"/>
        <v>0</v>
      </c>
      <c r="S8" s="437">
        <f t="shared" si="0"/>
        <v>0</v>
      </c>
      <c r="T8" s="437">
        <f t="shared" si="0"/>
        <v>0</v>
      </c>
      <c r="U8" s="437">
        <f t="shared" si="0"/>
        <v>0</v>
      </c>
      <c r="V8" s="437">
        <f t="shared" si="0"/>
        <v>0</v>
      </c>
      <c r="W8" s="437">
        <f t="shared" si="0"/>
        <v>0</v>
      </c>
      <c r="X8" s="437">
        <f t="shared" si="0"/>
        <v>0</v>
      </c>
      <c r="Y8" s="437">
        <f t="shared" si="0"/>
        <v>0</v>
      </c>
      <c r="Z8" s="437">
        <f t="shared" si="0"/>
        <v>0</v>
      </c>
      <c r="AA8" s="437">
        <f t="shared" si="0"/>
        <v>0</v>
      </c>
    </row>
    <row r="9" spans="1:28">
      <c r="A9" s="345">
        <v>1.1000000000000001</v>
      </c>
      <c r="B9" s="357" t="s">
        <v>407</v>
      </c>
      <c r="C9" s="438">
        <f>SUM(D9,H9,L9,T9)</f>
        <v>0</v>
      </c>
      <c r="D9" s="439">
        <v>0</v>
      </c>
      <c r="E9" s="439">
        <v>0</v>
      </c>
      <c r="F9" s="439">
        <v>0</v>
      </c>
      <c r="G9" s="439">
        <v>0</v>
      </c>
      <c r="H9" s="439">
        <v>0</v>
      </c>
      <c r="I9" s="439">
        <v>0</v>
      </c>
      <c r="J9" s="439">
        <v>0</v>
      </c>
      <c r="K9" s="439">
        <v>0</v>
      </c>
      <c r="L9" s="439">
        <v>0</v>
      </c>
      <c r="M9" s="439">
        <v>0</v>
      </c>
      <c r="N9" s="439">
        <v>0</v>
      </c>
      <c r="O9" s="439">
        <v>0</v>
      </c>
      <c r="P9" s="439">
        <v>0</v>
      </c>
      <c r="Q9" s="439">
        <v>0</v>
      </c>
      <c r="R9" s="439">
        <v>0</v>
      </c>
      <c r="S9" s="439">
        <v>0</v>
      </c>
      <c r="T9" s="439">
        <v>0</v>
      </c>
      <c r="U9" s="439">
        <v>0</v>
      </c>
      <c r="V9" s="439">
        <v>0</v>
      </c>
      <c r="W9" s="439">
        <v>0</v>
      </c>
      <c r="X9" s="439">
        <v>0</v>
      </c>
      <c r="Y9" s="439">
        <v>0</v>
      </c>
      <c r="Z9" s="439">
        <v>0</v>
      </c>
      <c r="AA9" s="439">
        <v>0</v>
      </c>
    </row>
    <row r="10" spans="1:28">
      <c r="A10" s="345">
        <v>1.2</v>
      </c>
      <c r="B10" s="357" t="s">
        <v>408</v>
      </c>
      <c r="C10" s="438">
        <f t="shared" ref="C10:C14" si="1">SUM(D10,H10,L10,T10)</f>
        <v>0</v>
      </c>
      <c r="D10" s="439">
        <v>0</v>
      </c>
      <c r="E10" s="439">
        <v>0</v>
      </c>
      <c r="F10" s="439">
        <v>0</v>
      </c>
      <c r="G10" s="439">
        <v>0</v>
      </c>
      <c r="H10" s="439">
        <v>0</v>
      </c>
      <c r="I10" s="439">
        <v>0</v>
      </c>
      <c r="J10" s="439">
        <v>0</v>
      </c>
      <c r="K10" s="439">
        <v>0</v>
      </c>
      <c r="L10" s="439">
        <v>0</v>
      </c>
      <c r="M10" s="439">
        <v>0</v>
      </c>
      <c r="N10" s="439">
        <v>0</v>
      </c>
      <c r="O10" s="439">
        <v>0</v>
      </c>
      <c r="P10" s="439">
        <v>0</v>
      </c>
      <c r="Q10" s="439">
        <v>0</v>
      </c>
      <c r="R10" s="439">
        <v>0</v>
      </c>
      <c r="S10" s="439">
        <v>0</v>
      </c>
      <c r="T10" s="439">
        <v>0</v>
      </c>
      <c r="U10" s="439">
        <v>0</v>
      </c>
      <c r="V10" s="439">
        <v>0</v>
      </c>
      <c r="W10" s="439">
        <v>0</v>
      </c>
      <c r="X10" s="439">
        <v>0</v>
      </c>
      <c r="Y10" s="439">
        <v>0</v>
      </c>
      <c r="Z10" s="439">
        <v>0</v>
      </c>
      <c r="AA10" s="439">
        <v>0</v>
      </c>
    </row>
    <row r="11" spans="1:28">
      <c r="A11" s="345">
        <v>1.3</v>
      </c>
      <c r="B11" s="357" t="s">
        <v>409</v>
      </c>
      <c r="C11" s="438">
        <f t="shared" si="1"/>
        <v>0</v>
      </c>
      <c r="D11" s="439">
        <v>0</v>
      </c>
      <c r="E11" s="439">
        <v>0</v>
      </c>
      <c r="F11" s="439">
        <v>0</v>
      </c>
      <c r="G11" s="439">
        <v>0</v>
      </c>
      <c r="H11" s="439">
        <v>0</v>
      </c>
      <c r="I11" s="439">
        <v>0</v>
      </c>
      <c r="J11" s="439">
        <v>0</v>
      </c>
      <c r="K11" s="439">
        <v>0</v>
      </c>
      <c r="L11" s="439">
        <v>0</v>
      </c>
      <c r="M11" s="439">
        <v>0</v>
      </c>
      <c r="N11" s="439">
        <v>0</v>
      </c>
      <c r="O11" s="439">
        <v>0</v>
      </c>
      <c r="P11" s="439">
        <v>0</v>
      </c>
      <c r="Q11" s="439">
        <v>0</v>
      </c>
      <c r="R11" s="439">
        <v>0</v>
      </c>
      <c r="S11" s="439">
        <v>0</v>
      </c>
      <c r="T11" s="439">
        <v>0</v>
      </c>
      <c r="U11" s="439">
        <v>0</v>
      </c>
      <c r="V11" s="439">
        <v>0</v>
      </c>
      <c r="W11" s="439">
        <v>0</v>
      </c>
      <c r="X11" s="439">
        <v>0</v>
      </c>
      <c r="Y11" s="439">
        <v>0</v>
      </c>
      <c r="Z11" s="439">
        <v>0</v>
      </c>
      <c r="AA11" s="439">
        <v>0</v>
      </c>
    </row>
    <row r="12" spans="1:28">
      <c r="A12" s="345">
        <v>1.4</v>
      </c>
      <c r="B12" s="357" t="s">
        <v>410</v>
      </c>
      <c r="C12" s="438">
        <f t="shared" si="1"/>
        <v>0</v>
      </c>
      <c r="D12" s="439">
        <v>0</v>
      </c>
      <c r="E12" s="439">
        <v>0</v>
      </c>
      <c r="F12" s="439">
        <v>0</v>
      </c>
      <c r="G12" s="439">
        <v>0</v>
      </c>
      <c r="H12" s="439">
        <v>0</v>
      </c>
      <c r="I12" s="439">
        <v>0</v>
      </c>
      <c r="J12" s="439">
        <v>0</v>
      </c>
      <c r="K12" s="439">
        <v>0</v>
      </c>
      <c r="L12" s="439">
        <v>0</v>
      </c>
      <c r="M12" s="439">
        <v>0</v>
      </c>
      <c r="N12" s="439">
        <v>0</v>
      </c>
      <c r="O12" s="439">
        <v>0</v>
      </c>
      <c r="P12" s="439">
        <v>0</v>
      </c>
      <c r="Q12" s="439">
        <v>0</v>
      </c>
      <c r="R12" s="439">
        <v>0</v>
      </c>
      <c r="S12" s="439">
        <v>0</v>
      </c>
      <c r="T12" s="439">
        <v>0</v>
      </c>
      <c r="U12" s="439">
        <v>0</v>
      </c>
      <c r="V12" s="439">
        <v>0</v>
      </c>
      <c r="W12" s="439">
        <v>0</v>
      </c>
      <c r="X12" s="439">
        <v>0</v>
      </c>
      <c r="Y12" s="439">
        <v>0</v>
      </c>
      <c r="Z12" s="439">
        <v>0</v>
      </c>
      <c r="AA12" s="439">
        <v>0</v>
      </c>
    </row>
    <row r="13" spans="1:28">
      <c r="A13" s="345">
        <v>1.5</v>
      </c>
      <c r="B13" s="357" t="s">
        <v>411</v>
      </c>
      <c r="C13" s="438">
        <f t="shared" si="1"/>
        <v>0</v>
      </c>
      <c r="D13" s="439">
        <v>0</v>
      </c>
      <c r="E13" s="439">
        <v>0</v>
      </c>
      <c r="F13" s="439">
        <v>0</v>
      </c>
      <c r="G13" s="439">
        <v>0</v>
      </c>
      <c r="H13" s="439">
        <v>0</v>
      </c>
      <c r="I13" s="439">
        <v>0</v>
      </c>
      <c r="J13" s="439">
        <v>0</v>
      </c>
      <c r="K13" s="439">
        <v>0</v>
      </c>
      <c r="L13" s="439">
        <v>0</v>
      </c>
      <c r="M13" s="439">
        <v>0</v>
      </c>
      <c r="N13" s="439">
        <v>0</v>
      </c>
      <c r="O13" s="439">
        <v>0</v>
      </c>
      <c r="P13" s="439">
        <v>0</v>
      </c>
      <c r="Q13" s="439">
        <v>0</v>
      </c>
      <c r="R13" s="439">
        <v>0</v>
      </c>
      <c r="S13" s="439">
        <v>0</v>
      </c>
      <c r="T13" s="439">
        <v>0</v>
      </c>
      <c r="U13" s="439">
        <v>0</v>
      </c>
      <c r="V13" s="439">
        <v>0</v>
      </c>
      <c r="W13" s="439">
        <v>0</v>
      </c>
      <c r="X13" s="439">
        <v>0</v>
      </c>
      <c r="Y13" s="439">
        <v>0</v>
      </c>
      <c r="Z13" s="439">
        <v>0</v>
      </c>
      <c r="AA13" s="439">
        <v>0</v>
      </c>
    </row>
    <row r="14" spans="1:28">
      <c r="A14" s="345">
        <v>1.6</v>
      </c>
      <c r="B14" s="357" t="s">
        <v>412</v>
      </c>
      <c r="C14" s="440">
        <f t="shared" si="1"/>
        <v>558709363.8354156</v>
      </c>
      <c r="D14" s="441">
        <v>508496993.95171702</v>
      </c>
      <c r="E14" s="439">
        <v>2103621.3776982422</v>
      </c>
      <c r="F14" s="439">
        <v>0</v>
      </c>
      <c r="G14" s="439">
        <v>0</v>
      </c>
      <c r="H14" s="439">
        <v>30463618.418604821</v>
      </c>
      <c r="I14" s="439">
        <v>5228394.5212216228</v>
      </c>
      <c r="J14" s="439">
        <v>4185523.2705021249</v>
      </c>
      <c r="K14" s="439">
        <v>0</v>
      </c>
      <c r="L14" s="439">
        <v>19748751.465093754</v>
      </c>
      <c r="M14" s="439">
        <v>2125338.9381396738</v>
      </c>
      <c r="N14" s="439">
        <v>1814030.4637108734</v>
      </c>
      <c r="O14" s="439">
        <v>7539800.2187555013</v>
      </c>
      <c r="P14" s="439">
        <v>0</v>
      </c>
      <c r="Q14" s="439">
        <v>0</v>
      </c>
      <c r="R14" s="439">
        <v>0</v>
      </c>
      <c r="S14" s="439">
        <v>0</v>
      </c>
      <c r="T14" s="439">
        <v>0</v>
      </c>
      <c r="U14" s="439">
        <v>0</v>
      </c>
      <c r="V14" s="439">
        <v>0</v>
      </c>
      <c r="W14" s="439">
        <v>0</v>
      </c>
      <c r="X14" s="439">
        <v>0</v>
      </c>
      <c r="Y14" s="439">
        <v>0</v>
      </c>
      <c r="Z14" s="439">
        <v>0</v>
      </c>
      <c r="AA14" s="439">
        <v>0</v>
      </c>
    </row>
    <row r="15" spans="1:28" ht="12">
      <c r="A15" s="372">
        <v>2</v>
      </c>
      <c r="B15" s="348" t="s">
        <v>413</v>
      </c>
      <c r="C15" s="437">
        <f>SUM(C16:C21)</f>
        <v>0</v>
      </c>
      <c r="D15" s="437">
        <f>SUM(D16:D21)</f>
        <v>0</v>
      </c>
      <c r="E15" s="437">
        <f t="shared" ref="E15:AA15" si="2">SUM(E16:E21)</f>
        <v>0</v>
      </c>
      <c r="F15" s="437">
        <f t="shared" si="2"/>
        <v>0</v>
      </c>
      <c r="G15" s="437">
        <f t="shared" si="2"/>
        <v>0</v>
      </c>
      <c r="H15" s="437">
        <f t="shared" si="2"/>
        <v>0</v>
      </c>
      <c r="I15" s="437">
        <f t="shared" si="2"/>
        <v>0</v>
      </c>
      <c r="J15" s="437">
        <f t="shared" si="2"/>
        <v>0</v>
      </c>
      <c r="K15" s="437">
        <f t="shared" si="2"/>
        <v>0</v>
      </c>
      <c r="L15" s="437">
        <f t="shared" si="2"/>
        <v>0</v>
      </c>
      <c r="M15" s="437">
        <f t="shared" si="2"/>
        <v>0</v>
      </c>
      <c r="N15" s="437">
        <f t="shared" si="2"/>
        <v>0</v>
      </c>
      <c r="O15" s="437">
        <f t="shared" si="2"/>
        <v>0</v>
      </c>
      <c r="P15" s="437">
        <f t="shared" si="2"/>
        <v>0</v>
      </c>
      <c r="Q15" s="437">
        <f t="shared" si="2"/>
        <v>0</v>
      </c>
      <c r="R15" s="437">
        <f t="shared" si="2"/>
        <v>0</v>
      </c>
      <c r="S15" s="437">
        <f t="shared" si="2"/>
        <v>0</v>
      </c>
      <c r="T15" s="437">
        <f t="shared" si="2"/>
        <v>0</v>
      </c>
      <c r="U15" s="437">
        <f t="shared" si="2"/>
        <v>0</v>
      </c>
      <c r="V15" s="437">
        <f t="shared" si="2"/>
        <v>0</v>
      </c>
      <c r="W15" s="437">
        <f t="shared" si="2"/>
        <v>0</v>
      </c>
      <c r="X15" s="437">
        <f t="shared" si="2"/>
        <v>0</v>
      </c>
      <c r="Y15" s="437">
        <f t="shared" si="2"/>
        <v>0</v>
      </c>
      <c r="Z15" s="437">
        <f t="shared" si="2"/>
        <v>0</v>
      </c>
      <c r="AA15" s="437">
        <f t="shared" si="2"/>
        <v>0</v>
      </c>
    </row>
    <row r="16" spans="1:28">
      <c r="A16" s="345">
        <v>2.1</v>
      </c>
      <c r="B16" s="357" t="s">
        <v>407</v>
      </c>
      <c r="C16" s="438">
        <f>SUM(D16,H16,L16,T16)</f>
        <v>0</v>
      </c>
      <c r="D16" s="439">
        <v>0</v>
      </c>
      <c r="E16" s="439">
        <v>0</v>
      </c>
      <c r="F16" s="439">
        <v>0</v>
      </c>
      <c r="G16" s="439">
        <v>0</v>
      </c>
      <c r="H16" s="439">
        <v>0</v>
      </c>
      <c r="I16" s="439">
        <v>0</v>
      </c>
      <c r="J16" s="439">
        <v>0</v>
      </c>
      <c r="K16" s="439">
        <v>0</v>
      </c>
      <c r="L16" s="439">
        <v>0</v>
      </c>
      <c r="M16" s="439">
        <v>0</v>
      </c>
      <c r="N16" s="439">
        <v>0</v>
      </c>
      <c r="O16" s="439">
        <v>0</v>
      </c>
      <c r="P16" s="439">
        <v>0</v>
      </c>
      <c r="Q16" s="439">
        <v>0</v>
      </c>
      <c r="R16" s="439">
        <v>0</v>
      </c>
      <c r="S16" s="439">
        <v>0</v>
      </c>
      <c r="T16" s="439">
        <v>0</v>
      </c>
      <c r="U16" s="439">
        <v>0</v>
      </c>
      <c r="V16" s="439">
        <v>0</v>
      </c>
      <c r="W16" s="439">
        <v>0</v>
      </c>
      <c r="X16" s="439">
        <v>0</v>
      </c>
      <c r="Y16" s="439">
        <v>0</v>
      </c>
      <c r="Z16" s="439">
        <v>0</v>
      </c>
      <c r="AA16" s="439">
        <v>0</v>
      </c>
    </row>
    <row r="17" spans="1:27">
      <c r="A17" s="345">
        <v>2.2000000000000002</v>
      </c>
      <c r="B17" s="357" t="s">
        <v>408</v>
      </c>
      <c r="C17" s="438">
        <f t="shared" ref="C17:C21" si="3">SUM(D17,H17,L17,T17)</f>
        <v>0</v>
      </c>
      <c r="D17" s="439">
        <v>0</v>
      </c>
      <c r="E17" s="439">
        <v>0</v>
      </c>
      <c r="F17" s="439">
        <v>0</v>
      </c>
      <c r="G17" s="439">
        <v>0</v>
      </c>
      <c r="H17" s="439">
        <v>0</v>
      </c>
      <c r="I17" s="439">
        <v>0</v>
      </c>
      <c r="J17" s="439">
        <v>0</v>
      </c>
      <c r="K17" s="439">
        <v>0</v>
      </c>
      <c r="L17" s="439">
        <v>0</v>
      </c>
      <c r="M17" s="439">
        <v>0</v>
      </c>
      <c r="N17" s="439">
        <v>0</v>
      </c>
      <c r="O17" s="439">
        <v>0</v>
      </c>
      <c r="P17" s="439">
        <v>0</v>
      </c>
      <c r="Q17" s="439">
        <v>0</v>
      </c>
      <c r="R17" s="439">
        <v>0</v>
      </c>
      <c r="S17" s="439">
        <v>0</v>
      </c>
      <c r="T17" s="439">
        <v>0</v>
      </c>
      <c r="U17" s="439">
        <v>0</v>
      </c>
      <c r="V17" s="439">
        <v>0</v>
      </c>
      <c r="W17" s="439">
        <v>0</v>
      </c>
      <c r="X17" s="439">
        <v>0</v>
      </c>
      <c r="Y17" s="439">
        <v>0</v>
      </c>
      <c r="Z17" s="439">
        <v>0</v>
      </c>
      <c r="AA17" s="439">
        <v>0</v>
      </c>
    </row>
    <row r="18" spans="1:27">
      <c r="A18" s="345">
        <v>2.2999999999999998</v>
      </c>
      <c r="B18" s="357" t="s">
        <v>409</v>
      </c>
      <c r="C18" s="438">
        <f t="shared" si="3"/>
        <v>0</v>
      </c>
      <c r="D18" s="439">
        <v>0</v>
      </c>
      <c r="E18" s="439">
        <v>0</v>
      </c>
      <c r="F18" s="439">
        <v>0</v>
      </c>
      <c r="G18" s="439">
        <v>0</v>
      </c>
      <c r="H18" s="439">
        <v>0</v>
      </c>
      <c r="I18" s="439">
        <v>0</v>
      </c>
      <c r="J18" s="439">
        <v>0</v>
      </c>
      <c r="K18" s="439">
        <v>0</v>
      </c>
      <c r="L18" s="439">
        <v>0</v>
      </c>
      <c r="M18" s="439">
        <v>0</v>
      </c>
      <c r="N18" s="439">
        <v>0</v>
      </c>
      <c r="O18" s="439">
        <v>0</v>
      </c>
      <c r="P18" s="439">
        <v>0</v>
      </c>
      <c r="Q18" s="439">
        <v>0</v>
      </c>
      <c r="R18" s="439">
        <v>0</v>
      </c>
      <c r="S18" s="439">
        <v>0</v>
      </c>
      <c r="T18" s="439">
        <v>0</v>
      </c>
      <c r="U18" s="439">
        <v>0</v>
      </c>
      <c r="V18" s="439">
        <v>0</v>
      </c>
      <c r="W18" s="439">
        <v>0</v>
      </c>
      <c r="X18" s="439">
        <v>0</v>
      </c>
      <c r="Y18" s="439">
        <v>0</v>
      </c>
      <c r="Z18" s="439">
        <v>0</v>
      </c>
      <c r="AA18" s="439">
        <v>0</v>
      </c>
    </row>
    <row r="19" spans="1:27">
      <c r="A19" s="345">
        <v>2.4</v>
      </c>
      <c r="B19" s="357" t="s">
        <v>410</v>
      </c>
      <c r="C19" s="438">
        <f t="shared" si="3"/>
        <v>0</v>
      </c>
      <c r="D19" s="439">
        <v>0</v>
      </c>
      <c r="E19" s="439">
        <v>0</v>
      </c>
      <c r="F19" s="439">
        <v>0</v>
      </c>
      <c r="G19" s="439">
        <v>0</v>
      </c>
      <c r="H19" s="439">
        <v>0</v>
      </c>
      <c r="I19" s="439">
        <v>0</v>
      </c>
      <c r="J19" s="439">
        <v>0</v>
      </c>
      <c r="K19" s="439">
        <v>0</v>
      </c>
      <c r="L19" s="439">
        <v>0</v>
      </c>
      <c r="M19" s="439">
        <v>0</v>
      </c>
      <c r="N19" s="439">
        <v>0</v>
      </c>
      <c r="O19" s="439">
        <v>0</v>
      </c>
      <c r="P19" s="439">
        <v>0</v>
      </c>
      <c r="Q19" s="439">
        <v>0</v>
      </c>
      <c r="R19" s="439">
        <v>0</v>
      </c>
      <c r="S19" s="439">
        <v>0</v>
      </c>
      <c r="T19" s="439">
        <v>0</v>
      </c>
      <c r="U19" s="439">
        <v>0</v>
      </c>
      <c r="V19" s="439">
        <v>0</v>
      </c>
      <c r="W19" s="439">
        <v>0</v>
      </c>
      <c r="X19" s="439">
        <v>0</v>
      </c>
      <c r="Y19" s="439">
        <v>0</v>
      </c>
      <c r="Z19" s="439">
        <v>0</v>
      </c>
      <c r="AA19" s="439">
        <v>0</v>
      </c>
    </row>
    <row r="20" spans="1:27">
      <c r="A20" s="345">
        <v>2.5</v>
      </c>
      <c r="B20" s="357" t="s">
        <v>411</v>
      </c>
      <c r="C20" s="438">
        <f t="shared" si="3"/>
        <v>0</v>
      </c>
      <c r="D20" s="439">
        <v>0</v>
      </c>
      <c r="E20" s="439">
        <v>0</v>
      </c>
      <c r="F20" s="439">
        <v>0</v>
      </c>
      <c r="G20" s="439">
        <v>0</v>
      </c>
      <c r="H20" s="439">
        <v>0</v>
      </c>
      <c r="I20" s="439">
        <v>0</v>
      </c>
      <c r="J20" s="439">
        <v>0</v>
      </c>
      <c r="K20" s="439">
        <v>0</v>
      </c>
      <c r="L20" s="439">
        <v>0</v>
      </c>
      <c r="M20" s="439">
        <v>0</v>
      </c>
      <c r="N20" s="439">
        <v>0</v>
      </c>
      <c r="O20" s="439">
        <v>0</v>
      </c>
      <c r="P20" s="439">
        <v>0</v>
      </c>
      <c r="Q20" s="439">
        <v>0</v>
      </c>
      <c r="R20" s="439">
        <v>0</v>
      </c>
      <c r="S20" s="439">
        <v>0</v>
      </c>
      <c r="T20" s="439">
        <v>0</v>
      </c>
      <c r="U20" s="439">
        <v>0</v>
      </c>
      <c r="V20" s="439">
        <v>0</v>
      </c>
      <c r="W20" s="439">
        <v>0</v>
      </c>
      <c r="X20" s="439">
        <v>0</v>
      </c>
      <c r="Y20" s="439">
        <v>0</v>
      </c>
      <c r="Z20" s="439">
        <v>0</v>
      </c>
      <c r="AA20" s="439">
        <v>0</v>
      </c>
    </row>
    <row r="21" spans="1:27">
      <c r="A21" s="345">
        <v>2.6</v>
      </c>
      <c r="B21" s="357" t="s">
        <v>412</v>
      </c>
      <c r="C21" s="438">
        <f t="shared" si="3"/>
        <v>0</v>
      </c>
      <c r="D21" s="439">
        <v>0</v>
      </c>
      <c r="E21" s="439">
        <v>0</v>
      </c>
      <c r="F21" s="439">
        <v>0</v>
      </c>
      <c r="G21" s="439">
        <v>0</v>
      </c>
      <c r="H21" s="439">
        <v>0</v>
      </c>
      <c r="I21" s="439">
        <v>0</v>
      </c>
      <c r="J21" s="439">
        <v>0</v>
      </c>
      <c r="K21" s="439">
        <v>0</v>
      </c>
      <c r="L21" s="439">
        <v>0</v>
      </c>
      <c r="M21" s="439">
        <v>0</v>
      </c>
      <c r="N21" s="439">
        <v>0</v>
      </c>
      <c r="O21" s="439">
        <v>0</v>
      </c>
      <c r="P21" s="439">
        <v>0</v>
      </c>
      <c r="Q21" s="439">
        <v>0</v>
      </c>
      <c r="R21" s="439">
        <v>0</v>
      </c>
      <c r="S21" s="439">
        <v>0</v>
      </c>
      <c r="T21" s="439">
        <v>0</v>
      </c>
      <c r="U21" s="439">
        <v>0</v>
      </c>
      <c r="V21" s="439">
        <v>0</v>
      </c>
      <c r="W21" s="439">
        <v>0</v>
      </c>
      <c r="X21" s="439">
        <v>0</v>
      </c>
      <c r="Y21" s="439">
        <v>0</v>
      </c>
      <c r="Z21" s="439">
        <v>0</v>
      </c>
      <c r="AA21" s="439">
        <v>0</v>
      </c>
    </row>
    <row r="22" spans="1:27" ht="12">
      <c r="A22" s="372">
        <v>3</v>
      </c>
      <c r="B22" s="348" t="s">
        <v>451</v>
      </c>
      <c r="C22" s="437">
        <f>SUM(C23:C28)</f>
        <v>0</v>
      </c>
      <c r="D22" s="437">
        <f>SUM(D23:D28)</f>
        <v>0</v>
      </c>
      <c r="E22" s="442"/>
      <c r="F22" s="442"/>
      <c r="G22" s="442"/>
      <c r="H22" s="437">
        <f>SUM(H23:H28)</f>
        <v>0</v>
      </c>
      <c r="I22" s="442"/>
      <c r="J22" s="442"/>
      <c r="K22" s="442"/>
      <c r="L22" s="437">
        <f>SUM(L23:L28)</f>
        <v>0</v>
      </c>
      <c r="M22" s="442"/>
      <c r="N22" s="442"/>
      <c r="O22" s="442"/>
      <c r="P22" s="442"/>
      <c r="Q22" s="442"/>
      <c r="R22" s="442"/>
      <c r="S22" s="442"/>
      <c r="T22" s="437">
        <f>SUM(T23:T28)</f>
        <v>0</v>
      </c>
      <c r="U22" s="442"/>
      <c r="V22" s="442"/>
      <c r="W22" s="442"/>
      <c r="X22" s="442"/>
      <c r="Y22" s="442"/>
      <c r="Z22" s="442"/>
      <c r="AA22" s="442"/>
    </row>
    <row r="23" spans="1:27">
      <c r="A23" s="345">
        <v>3.1</v>
      </c>
      <c r="B23" s="357" t="s">
        <v>407</v>
      </c>
      <c r="C23" s="438">
        <f>SUM(D23,H23,L23,T23)</f>
        <v>0</v>
      </c>
      <c r="D23" s="439">
        <v>0</v>
      </c>
      <c r="E23" s="442"/>
      <c r="F23" s="442"/>
      <c r="G23" s="442"/>
      <c r="H23" s="439">
        <v>0</v>
      </c>
      <c r="I23" s="442"/>
      <c r="J23" s="442"/>
      <c r="K23" s="442"/>
      <c r="L23" s="439">
        <v>0</v>
      </c>
      <c r="M23" s="442"/>
      <c r="N23" s="442"/>
      <c r="O23" s="442"/>
      <c r="P23" s="442"/>
      <c r="Q23" s="442"/>
      <c r="R23" s="442"/>
      <c r="S23" s="442"/>
      <c r="T23" s="439">
        <v>0</v>
      </c>
      <c r="U23" s="442"/>
      <c r="V23" s="442"/>
      <c r="W23" s="442"/>
      <c r="X23" s="442"/>
      <c r="Y23" s="442"/>
      <c r="Z23" s="442"/>
      <c r="AA23" s="442"/>
    </row>
    <row r="24" spans="1:27">
      <c r="A24" s="345">
        <v>3.2</v>
      </c>
      <c r="B24" s="357" t="s">
        <v>408</v>
      </c>
      <c r="C24" s="438">
        <f t="shared" ref="C24:C28" si="4">SUM(D24,H24,L24,T24)</f>
        <v>0</v>
      </c>
      <c r="D24" s="439">
        <v>0</v>
      </c>
      <c r="E24" s="442"/>
      <c r="F24" s="442"/>
      <c r="G24" s="442"/>
      <c r="H24" s="439">
        <v>0</v>
      </c>
      <c r="I24" s="442"/>
      <c r="J24" s="442"/>
      <c r="K24" s="442"/>
      <c r="L24" s="439">
        <v>0</v>
      </c>
      <c r="M24" s="442"/>
      <c r="N24" s="442"/>
      <c r="O24" s="442"/>
      <c r="P24" s="442"/>
      <c r="Q24" s="442"/>
      <c r="R24" s="442"/>
      <c r="S24" s="442"/>
      <c r="T24" s="439">
        <v>0</v>
      </c>
      <c r="U24" s="442"/>
      <c r="V24" s="442"/>
      <c r="W24" s="442"/>
      <c r="X24" s="442"/>
      <c r="Y24" s="442"/>
      <c r="Z24" s="442"/>
      <c r="AA24" s="442"/>
    </row>
    <row r="25" spans="1:27">
      <c r="A25" s="345">
        <v>3.3</v>
      </c>
      <c r="B25" s="357" t="s">
        <v>409</v>
      </c>
      <c r="C25" s="438">
        <f t="shared" si="4"/>
        <v>0</v>
      </c>
      <c r="D25" s="439">
        <v>0</v>
      </c>
      <c r="E25" s="442"/>
      <c r="F25" s="442"/>
      <c r="G25" s="442"/>
      <c r="H25" s="439">
        <v>0</v>
      </c>
      <c r="I25" s="442"/>
      <c r="J25" s="442"/>
      <c r="K25" s="442"/>
      <c r="L25" s="439">
        <v>0</v>
      </c>
      <c r="M25" s="442"/>
      <c r="N25" s="442"/>
      <c r="O25" s="442"/>
      <c r="P25" s="442"/>
      <c r="Q25" s="442"/>
      <c r="R25" s="442"/>
      <c r="S25" s="442"/>
      <c r="T25" s="439">
        <v>0</v>
      </c>
      <c r="U25" s="442"/>
      <c r="V25" s="442"/>
      <c r="W25" s="442"/>
      <c r="X25" s="442"/>
      <c r="Y25" s="442"/>
      <c r="Z25" s="442"/>
      <c r="AA25" s="442"/>
    </row>
    <row r="26" spans="1:27">
      <c r="A26" s="345">
        <v>3.4</v>
      </c>
      <c r="B26" s="357" t="s">
        <v>410</v>
      </c>
      <c r="C26" s="438">
        <f t="shared" si="4"/>
        <v>0</v>
      </c>
      <c r="D26" s="439">
        <v>0</v>
      </c>
      <c r="E26" s="442"/>
      <c r="F26" s="442"/>
      <c r="G26" s="442"/>
      <c r="H26" s="439">
        <v>0</v>
      </c>
      <c r="I26" s="442"/>
      <c r="J26" s="442"/>
      <c r="K26" s="442"/>
      <c r="L26" s="439">
        <v>0</v>
      </c>
      <c r="M26" s="442"/>
      <c r="N26" s="442"/>
      <c r="O26" s="442"/>
      <c r="P26" s="442"/>
      <c r="Q26" s="442"/>
      <c r="R26" s="442"/>
      <c r="S26" s="442"/>
      <c r="T26" s="439">
        <v>0</v>
      </c>
      <c r="U26" s="442"/>
      <c r="V26" s="442"/>
      <c r="W26" s="442"/>
      <c r="X26" s="442"/>
      <c r="Y26" s="442"/>
      <c r="Z26" s="442"/>
      <c r="AA26" s="442"/>
    </row>
    <row r="27" spans="1:27">
      <c r="A27" s="345">
        <v>3.5</v>
      </c>
      <c r="B27" s="357" t="s">
        <v>411</v>
      </c>
      <c r="C27" s="438">
        <f t="shared" si="4"/>
        <v>0</v>
      </c>
      <c r="D27" s="439">
        <v>0</v>
      </c>
      <c r="E27" s="442"/>
      <c r="F27" s="442"/>
      <c r="G27" s="442"/>
      <c r="H27" s="439">
        <v>0</v>
      </c>
      <c r="I27" s="442"/>
      <c r="J27" s="442"/>
      <c r="K27" s="442"/>
      <c r="L27" s="439">
        <v>0</v>
      </c>
      <c r="M27" s="442"/>
      <c r="N27" s="442"/>
      <c r="O27" s="442"/>
      <c r="P27" s="442"/>
      <c r="Q27" s="442"/>
      <c r="R27" s="442"/>
      <c r="S27" s="442"/>
      <c r="T27" s="439">
        <v>0</v>
      </c>
      <c r="U27" s="442"/>
      <c r="V27" s="442"/>
      <c r="W27" s="442"/>
      <c r="X27" s="442"/>
      <c r="Y27" s="442"/>
      <c r="Z27" s="442"/>
      <c r="AA27" s="442"/>
    </row>
    <row r="28" spans="1:27">
      <c r="A28" s="345">
        <v>3.6</v>
      </c>
      <c r="B28" s="357" t="s">
        <v>412</v>
      </c>
      <c r="C28" s="438">
        <f t="shared" si="4"/>
        <v>0</v>
      </c>
      <c r="D28" s="439">
        <v>0</v>
      </c>
      <c r="E28" s="442"/>
      <c r="F28" s="442"/>
      <c r="G28" s="442"/>
      <c r="H28" s="439">
        <v>0</v>
      </c>
      <c r="I28" s="442"/>
      <c r="J28" s="442"/>
      <c r="K28" s="442"/>
      <c r="L28" s="439">
        <v>0</v>
      </c>
      <c r="M28" s="442"/>
      <c r="N28" s="442"/>
      <c r="O28" s="442"/>
      <c r="P28" s="442"/>
      <c r="Q28" s="442"/>
      <c r="R28" s="442"/>
      <c r="S28" s="442"/>
      <c r="T28" s="439">
        <v>0</v>
      </c>
      <c r="U28" s="442"/>
      <c r="V28" s="442"/>
      <c r="W28" s="442"/>
      <c r="X28" s="442"/>
      <c r="Y28" s="442"/>
      <c r="Z28" s="442"/>
      <c r="AA28" s="44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AA22"/>
  <sheetViews>
    <sheetView showGridLines="0"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2"/>
  <cols>
    <col min="1" max="1" width="11.77734375" style="3" bestFit="1" customWidth="1"/>
    <col min="2" max="2" width="90.21875" style="3" bestFit="1" customWidth="1"/>
    <col min="3" max="3" width="20.21875" style="3" customWidth="1"/>
    <col min="4" max="4" width="22.21875" style="3" customWidth="1"/>
    <col min="5" max="7" width="17.109375" style="3" customWidth="1"/>
    <col min="8" max="8" width="22.21875" style="3" customWidth="1"/>
    <col min="9" max="10" width="17.109375" style="3" customWidth="1"/>
    <col min="11" max="27" width="22.21875" style="3" customWidth="1"/>
    <col min="28" max="16384" width="9.21875" style="3"/>
  </cols>
  <sheetData>
    <row r="1" spans="1:27">
      <c r="A1" s="560" t="s">
        <v>680</v>
      </c>
      <c r="B1" s="574" t="str">
        <f>'Info '!C2</f>
        <v>Crystal</v>
      </c>
    </row>
    <row r="2" spans="1:27">
      <c r="A2" s="64" t="s">
        <v>31</v>
      </c>
      <c r="B2" s="569">
        <f>'1. key ratios '!B2</f>
        <v>45930</v>
      </c>
    </row>
    <row r="3" spans="1:27">
      <c r="A3" s="455" t="s">
        <v>415</v>
      </c>
      <c r="C3" s="214"/>
    </row>
    <row r="4" spans="1:27" ht="13.8" thickBot="1">
      <c r="A4" s="455"/>
      <c r="B4" s="214"/>
      <c r="C4" s="214"/>
    </row>
    <row r="5" spans="1:27" ht="13.5" customHeight="1">
      <c r="A5" s="778" t="s">
        <v>616</v>
      </c>
      <c r="B5" s="779"/>
      <c r="C5" s="789" t="s">
        <v>615</v>
      </c>
      <c r="D5" s="790"/>
      <c r="E5" s="790"/>
      <c r="F5" s="790"/>
      <c r="G5" s="790"/>
      <c r="H5" s="790"/>
      <c r="I5" s="790"/>
      <c r="J5" s="790"/>
      <c r="K5" s="790"/>
      <c r="L5" s="790"/>
      <c r="M5" s="790"/>
      <c r="N5" s="790"/>
      <c r="O5" s="790"/>
      <c r="P5" s="790"/>
      <c r="Q5" s="790"/>
      <c r="R5" s="790"/>
      <c r="S5" s="791"/>
      <c r="T5" s="456"/>
      <c r="U5" s="456"/>
      <c r="V5" s="456"/>
      <c r="W5" s="456"/>
      <c r="X5" s="456"/>
      <c r="Y5" s="456"/>
      <c r="Z5" s="456"/>
      <c r="AA5" s="457"/>
    </row>
    <row r="6" spans="1:27" ht="12" customHeight="1">
      <c r="A6" s="780"/>
      <c r="B6" s="781"/>
      <c r="C6" s="785" t="s">
        <v>62</v>
      </c>
      <c r="D6" s="784" t="s">
        <v>702</v>
      </c>
      <c r="E6" s="784"/>
      <c r="F6" s="784"/>
      <c r="G6" s="784"/>
      <c r="H6" s="784" t="s">
        <v>703</v>
      </c>
      <c r="I6" s="784"/>
      <c r="J6" s="784"/>
      <c r="K6" s="784"/>
      <c r="L6" s="458"/>
      <c r="M6" s="787" t="s">
        <v>704</v>
      </c>
      <c r="N6" s="787"/>
      <c r="O6" s="787"/>
      <c r="P6" s="787"/>
      <c r="Q6" s="787"/>
      <c r="R6" s="787"/>
      <c r="S6" s="788"/>
      <c r="T6" s="456"/>
      <c r="U6" s="776" t="s">
        <v>612</v>
      </c>
      <c r="V6" s="776"/>
      <c r="W6" s="776"/>
      <c r="X6" s="776"/>
      <c r="Y6" s="776"/>
      <c r="Z6" s="776"/>
      <c r="AA6" s="777"/>
    </row>
    <row r="7" spans="1:27" ht="26.4">
      <c r="A7" s="782"/>
      <c r="B7" s="783"/>
      <c r="C7" s="786"/>
      <c r="D7" s="460"/>
      <c r="E7" s="228" t="s">
        <v>405</v>
      </c>
      <c r="F7" s="228" t="s">
        <v>610</v>
      </c>
      <c r="G7" s="461" t="s">
        <v>611</v>
      </c>
      <c r="H7" s="144"/>
      <c r="I7" s="228" t="s">
        <v>405</v>
      </c>
      <c r="J7" s="228" t="s">
        <v>610</v>
      </c>
      <c r="K7" s="461" t="s">
        <v>611</v>
      </c>
      <c r="L7" s="462"/>
      <c r="M7" s="228" t="s">
        <v>405</v>
      </c>
      <c r="N7" s="228" t="s">
        <v>610</v>
      </c>
      <c r="O7" s="228" t="s">
        <v>609</v>
      </c>
      <c r="P7" s="228" t="s">
        <v>608</v>
      </c>
      <c r="Q7" s="228" t="s">
        <v>607</v>
      </c>
      <c r="R7" s="228" t="s">
        <v>606</v>
      </c>
      <c r="S7" s="463" t="s">
        <v>605</v>
      </c>
      <c r="T7" s="459"/>
      <c r="U7" s="228" t="s">
        <v>405</v>
      </c>
      <c r="V7" s="228" t="s">
        <v>610</v>
      </c>
      <c r="W7" s="228" t="s">
        <v>609</v>
      </c>
      <c r="X7" s="228" t="s">
        <v>608</v>
      </c>
      <c r="Y7" s="228" t="s">
        <v>607</v>
      </c>
      <c r="Z7" s="228" t="s">
        <v>606</v>
      </c>
      <c r="AA7" s="228" t="s">
        <v>605</v>
      </c>
    </row>
    <row r="8" spans="1:27">
      <c r="A8" s="464">
        <v>1</v>
      </c>
      <c r="B8" s="465" t="s">
        <v>406</v>
      </c>
      <c r="C8" s="443">
        <f>SUM(D8,H8,L8,T8)</f>
        <v>558709363.8354156</v>
      </c>
      <c r="D8" s="444">
        <f>'[1]22. Quality'!D8</f>
        <v>508496993.95171702</v>
      </c>
      <c r="E8" s="444">
        <f>'[1]22. Quality'!E8</f>
        <v>2103621.3776982422</v>
      </c>
      <c r="F8" s="444">
        <f>'[1]22. Quality'!F8</f>
        <v>0</v>
      </c>
      <c r="G8" s="444">
        <f>'[1]22. Quality'!G8</f>
        <v>0</v>
      </c>
      <c r="H8" s="444">
        <f>'[1]22. Quality'!H8</f>
        <v>30463618.418604821</v>
      </c>
      <c r="I8" s="444">
        <f>'[1]22. Quality'!I8</f>
        <v>5228394.5212216228</v>
      </c>
      <c r="J8" s="444">
        <f>'[1]22. Quality'!J8</f>
        <v>4185523.2705021249</v>
      </c>
      <c r="K8" s="444">
        <f>'[1]22. Quality'!K8</f>
        <v>0</v>
      </c>
      <c r="L8" s="444">
        <f>'[1]22. Quality'!L8</f>
        <v>19748751.465093754</v>
      </c>
      <c r="M8" s="444">
        <f>'[1]22. Quality'!M8</f>
        <v>2125338.9381396738</v>
      </c>
      <c r="N8" s="444">
        <f>'[1]22. Quality'!N8</f>
        <v>1814030.4637108734</v>
      </c>
      <c r="O8" s="444">
        <f>'[1]22. Quality'!O8</f>
        <v>7539800.2187555013</v>
      </c>
      <c r="P8" s="444">
        <v>0</v>
      </c>
      <c r="Q8" s="444">
        <v>0</v>
      </c>
      <c r="R8" s="444">
        <v>0</v>
      </c>
      <c r="S8" s="444">
        <v>0</v>
      </c>
      <c r="T8" s="444">
        <v>0</v>
      </c>
      <c r="U8" s="444">
        <v>0</v>
      </c>
      <c r="V8" s="444">
        <v>0</v>
      </c>
      <c r="W8" s="444">
        <v>0</v>
      </c>
      <c r="X8" s="444">
        <v>0</v>
      </c>
      <c r="Y8" s="444">
        <v>0</v>
      </c>
      <c r="Z8" s="444">
        <v>0</v>
      </c>
      <c r="AA8" s="445">
        <v>0</v>
      </c>
    </row>
    <row r="9" spans="1:27">
      <c r="A9" s="466">
        <v>1.1000000000000001</v>
      </c>
      <c r="B9" s="467" t="s">
        <v>416</v>
      </c>
      <c r="C9" s="446">
        <f>SUM(D9,H9,L9,T9)</f>
        <v>156820016.36295843</v>
      </c>
      <c r="D9" s="444">
        <v>138391137.31127238</v>
      </c>
      <c r="E9" s="444">
        <v>910271.83021652058</v>
      </c>
      <c r="F9" s="444">
        <v>0</v>
      </c>
      <c r="G9" s="444">
        <v>0</v>
      </c>
      <c r="H9" s="444">
        <v>12680490.70350074</v>
      </c>
      <c r="I9" s="444">
        <v>2289801.7927558515</v>
      </c>
      <c r="J9" s="444">
        <v>885545.40083610232</v>
      </c>
      <c r="K9" s="444">
        <v>0</v>
      </c>
      <c r="L9" s="444">
        <v>5748388.3481852878</v>
      </c>
      <c r="M9" s="444">
        <v>943655.65684268589</v>
      </c>
      <c r="N9" s="444">
        <v>621955.58485730609</v>
      </c>
      <c r="O9" s="444">
        <v>1188781.3574798731</v>
      </c>
      <c r="P9" s="444">
        <v>0</v>
      </c>
      <c r="Q9" s="444">
        <v>0</v>
      </c>
      <c r="R9" s="444">
        <v>0</v>
      </c>
      <c r="S9" s="444">
        <v>0</v>
      </c>
      <c r="T9" s="444">
        <v>0</v>
      </c>
      <c r="U9" s="444">
        <v>0</v>
      </c>
      <c r="V9" s="444">
        <v>0</v>
      </c>
      <c r="W9" s="444">
        <v>0</v>
      </c>
      <c r="X9" s="444">
        <v>0</v>
      </c>
      <c r="Y9" s="444">
        <v>0</v>
      </c>
      <c r="Z9" s="444">
        <v>0</v>
      </c>
      <c r="AA9" s="445">
        <v>0</v>
      </c>
    </row>
    <row r="10" spans="1:27">
      <c r="A10" s="468" t="s">
        <v>15</v>
      </c>
      <c r="B10" s="469" t="s">
        <v>417</v>
      </c>
      <c r="C10" s="447">
        <f t="shared" ref="C10:C15" si="0">SUM(D10,H10,L10,T10)</f>
        <v>60221989.673264503</v>
      </c>
      <c r="D10" s="444">
        <f>SUM(D11:D14)</f>
        <v>52629163.390195735</v>
      </c>
      <c r="E10" s="444">
        <f t="shared" ref="E10:AA10" si="1">SUM(E11:E14)</f>
        <v>172006.53859366415</v>
      </c>
      <c r="F10" s="444">
        <f t="shared" si="1"/>
        <v>0</v>
      </c>
      <c r="G10" s="444">
        <f t="shared" si="1"/>
        <v>0</v>
      </c>
      <c r="H10" s="444">
        <f t="shared" si="1"/>
        <v>5085788.5040548109</v>
      </c>
      <c r="I10" s="444">
        <f t="shared" si="1"/>
        <v>620766.3525153934</v>
      </c>
      <c r="J10" s="444">
        <f t="shared" si="1"/>
        <v>252627.30446321823</v>
      </c>
      <c r="K10" s="444">
        <f t="shared" si="1"/>
        <v>0</v>
      </c>
      <c r="L10" s="444">
        <f t="shared" si="1"/>
        <v>2507037.7790139588</v>
      </c>
      <c r="M10" s="444">
        <f t="shared" si="1"/>
        <v>443725.58924579254</v>
      </c>
      <c r="N10" s="444">
        <f t="shared" si="1"/>
        <v>83314.735084637563</v>
      </c>
      <c r="O10" s="444">
        <f t="shared" si="1"/>
        <v>308481.51017890219</v>
      </c>
      <c r="P10" s="444">
        <f t="shared" si="1"/>
        <v>0</v>
      </c>
      <c r="Q10" s="444">
        <f t="shared" si="1"/>
        <v>0</v>
      </c>
      <c r="R10" s="444">
        <f t="shared" si="1"/>
        <v>0</v>
      </c>
      <c r="S10" s="444">
        <f t="shared" si="1"/>
        <v>0</v>
      </c>
      <c r="T10" s="444">
        <f t="shared" si="1"/>
        <v>0</v>
      </c>
      <c r="U10" s="444">
        <f t="shared" si="1"/>
        <v>0</v>
      </c>
      <c r="V10" s="444">
        <f t="shared" si="1"/>
        <v>0</v>
      </c>
      <c r="W10" s="444">
        <f t="shared" si="1"/>
        <v>0</v>
      </c>
      <c r="X10" s="444">
        <f t="shared" si="1"/>
        <v>0</v>
      </c>
      <c r="Y10" s="444">
        <f t="shared" si="1"/>
        <v>0</v>
      </c>
      <c r="Z10" s="444">
        <f t="shared" si="1"/>
        <v>0</v>
      </c>
      <c r="AA10" s="445">
        <f t="shared" si="1"/>
        <v>0</v>
      </c>
    </row>
    <row r="11" spans="1:27">
      <c r="A11" s="470" t="s">
        <v>418</v>
      </c>
      <c r="B11" s="471" t="s">
        <v>419</v>
      </c>
      <c r="C11" s="447">
        <f t="shared" si="0"/>
        <v>55355763.333393544</v>
      </c>
      <c r="D11" s="444">
        <v>48342945.337513432</v>
      </c>
      <c r="E11" s="444">
        <v>172006.53859366415</v>
      </c>
      <c r="F11" s="444">
        <v>0</v>
      </c>
      <c r="G11" s="444">
        <v>0</v>
      </c>
      <c r="H11" s="444">
        <v>4852827.8421744462</v>
      </c>
      <c r="I11" s="444">
        <v>596518.37481079192</v>
      </c>
      <c r="J11" s="444">
        <v>252627.30446321823</v>
      </c>
      <c r="K11" s="444">
        <v>0</v>
      </c>
      <c r="L11" s="444">
        <v>2159990.1537056617</v>
      </c>
      <c r="M11" s="444">
        <v>427631.29496685171</v>
      </c>
      <c r="N11" s="444">
        <v>83314.735084637563</v>
      </c>
      <c r="O11" s="444">
        <v>231800.75848302757</v>
      </c>
      <c r="P11" s="444">
        <v>0</v>
      </c>
      <c r="Q11" s="444">
        <v>0</v>
      </c>
      <c r="R11" s="444">
        <v>0</v>
      </c>
      <c r="S11" s="444">
        <v>0</v>
      </c>
      <c r="T11" s="444">
        <v>0</v>
      </c>
      <c r="U11" s="444">
        <v>0</v>
      </c>
      <c r="V11" s="444">
        <v>0</v>
      </c>
      <c r="W11" s="444">
        <v>0</v>
      </c>
      <c r="X11" s="444">
        <v>0</v>
      </c>
      <c r="Y11" s="444">
        <v>0</v>
      </c>
      <c r="Z11" s="444">
        <v>0</v>
      </c>
      <c r="AA11" s="445">
        <v>0</v>
      </c>
    </row>
    <row r="12" spans="1:27">
      <c r="A12" s="470" t="s">
        <v>420</v>
      </c>
      <c r="B12" s="471" t="s">
        <v>421</v>
      </c>
      <c r="C12" s="447">
        <f t="shared" si="0"/>
        <v>2908942.563922043</v>
      </c>
      <c r="D12" s="444">
        <v>2642422.3969262559</v>
      </c>
      <c r="E12" s="444">
        <v>0</v>
      </c>
      <c r="F12" s="444">
        <v>0</v>
      </c>
      <c r="G12" s="444">
        <v>0</v>
      </c>
      <c r="H12" s="444">
        <v>174818.31783732309</v>
      </c>
      <c r="I12" s="444">
        <v>0</v>
      </c>
      <c r="J12" s="444">
        <v>0</v>
      </c>
      <c r="K12" s="444">
        <v>0</v>
      </c>
      <c r="L12" s="444">
        <v>91701.849158464</v>
      </c>
      <c r="M12" s="444">
        <v>0</v>
      </c>
      <c r="N12" s="444">
        <v>0</v>
      </c>
      <c r="O12" s="444">
        <v>76680.751695874613</v>
      </c>
      <c r="P12" s="444">
        <v>0</v>
      </c>
      <c r="Q12" s="444">
        <v>0</v>
      </c>
      <c r="R12" s="444">
        <v>0</v>
      </c>
      <c r="S12" s="444">
        <v>0</v>
      </c>
      <c r="T12" s="444">
        <v>0</v>
      </c>
      <c r="U12" s="444">
        <v>0</v>
      </c>
      <c r="V12" s="444">
        <v>0</v>
      </c>
      <c r="W12" s="444">
        <v>0</v>
      </c>
      <c r="X12" s="444">
        <v>0</v>
      </c>
      <c r="Y12" s="444">
        <v>0</v>
      </c>
      <c r="Z12" s="444">
        <v>0</v>
      </c>
      <c r="AA12" s="445">
        <v>0</v>
      </c>
    </row>
    <row r="13" spans="1:27">
      <c r="A13" s="470" t="s">
        <v>422</v>
      </c>
      <c r="B13" s="471" t="s">
        <v>423</v>
      </c>
      <c r="C13" s="447">
        <f t="shared" si="0"/>
        <v>933601.46702759329</v>
      </c>
      <c r="D13" s="444">
        <v>732897.49308433325</v>
      </c>
      <c r="E13" s="444">
        <v>0</v>
      </c>
      <c r="F13" s="444">
        <v>0</v>
      </c>
      <c r="G13" s="444">
        <v>0</v>
      </c>
      <c r="H13" s="444">
        <v>0</v>
      </c>
      <c r="I13" s="444">
        <v>0</v>
      </c>
      <c r="J13" s="444">
        <v>0</v>
      </c>
      <c r="K13" s="444">
        <v>0</v>
      </c>
      <c r="L13" s="444">
        <v>200703.97394326</v>
      </c>
      <c r="M13" s="444">
        <v>0</v>
      </c>
      <c r="N13" s="444">
        <v>0</v>
      </c>
      <c r="O13" s="444">
        <v>0</v>
      </c>
      <c r="P13" s="444">
        <v>0</v>
      </c>
      <c r="Q13" s="444">
        <v>0</v>
      </c>
      <c r="R13" s="444">
        <v>0</v>
      </c>
      <c r="S13" s="444">
        <v>0</v>
      </c>
      <c r="T13" s="444">
        <v>0</v>
      </c>
      <c r="U13" s="444">
        <v>0</v>
      </c>
      <c r="V13" s="444">
        <v>0</v>
      </c>
      <c r="W13" s="444">
        <v>0</v>
      </c>
      <c r="X13" s="444">
        <v>0</v>
      </c>
      <c r="Y13" s="444">
        <v>0</v>
      </c>
      <c r="Z13" s="444">
        <v>0</v>
      </c>
      <c r="AA13" s="445">
        <v>0</v>
      </c>
    </row>
    <row r="14" spans="1:27">
      <c r="A14" s="470" t="s">
        <v>424</v>
      </c>
      <c r="B14" s="471" t="s">
        <v>425</v>
      </c>
      <c r="C14" s="447">
        <f t="shared" si="0"/>
        <v>1023682.3089213307</v>
      </c>
      <c r="D14" s="444">
        <v>910898.16267171572</v>
      </c>
      <c r="E14" s="444">
        <v>0</v>
      </c>
      <c r="F14" s="444">
        <v>0</v>
      </c>
      <c r="G14" s="444">
        <v>0</v>
      </c>
      <c r="H14" s="444">
        <v>58142.344043041827</v>
      </c>
      <c r="I14" s="444">
        <v>24247.977704601424</v>
      </c>
      <c r="J14" s="444">
        <v>0</v>
      </c>
      <c r="K14" s="444">
        <v>0</v>
      </c>
      <c r="L14" s="444">
        <v>54641.802206573164</v>
      </c>
      <c r="M14" s="444">
        <v>16094.294278940837</v>
      </c>
      <c r="N14" s="444">
        <v>0</v>
      </c>
      <c r="O14" s="444">
        <v>0</v>
      </c>
      <c r="P14" s="444">
        <v>0</v>
      </c>
      <c r="Q14" s="444">
        <v>0</v>
      </c>
      <c r="R14" s="444">
        <v>0</v>
      </c>
      <c r="S14" s="444">
        <v>0</v>
      </c>
      <c r="T14" s="444">
        <v>0</v>
      </c>
      <c r="U14" s="444">
        <v>0</v>
      </c>
      <c r="V14" s="444">
        <v>0</v>
      </c>
      <c r="W14" s="444">
        <v>0</v>
      </c>
      <c r="X14" s="444">
        <v>0</v>
      </c>
      <c r="Y14" s="444">
        <v>0</v>
      </c>
      <c r="Z14" s="444">
        <v>0</v>
      </c>
      <c r="AA14" s="445">
        <v>0</v>
      </c>
    </row>
    <row r="15" spans="1:27">
      <c r="A15" s="472">
        <v>1.2</v>
      </c>
      <c r="B15" s="473" t="s">
        <v>614</v>
      </c>
      <c r="C15" s="447">
        <f t="shared" si="0"/>
        <v>4152683.7599999988</v>
      </c>
      <c r="D15" s="444">
        <v>398915.97999999899</v>
      </c>
      <c r="E15" s="444">
        <v>2134.2600000000002</v>
      </c>
      <c r="F15" s="444">
        <v>0</v>
      </c>
      <c r="G15" s="444">
        <v>0</v>
      </c>
      <c r="H15" s="444">
        <v>813878.76</v>
      </c>
      <c r="I15" s="444">
        <v>119482.03</v>
      </c>
      <c r="J15" s="444">
        <v>81766.81</v>
      </c>
      <c r="K15" s="444">
        <v>0</v>
      </c>
      <c r="L15" s="444">
        <v>2939889.02</v>
      </c>
      <c r="M15" s="444">
        <v>543658.92000000004</v>
      </c>
      <c r="N15" s="444">
        <v>159420.20000000001</v>
      </c>
      <c r="O15" s="444">
        <v>402505.89</v>
      </c>
      <c r="P15" s="444">
        <v>0</v>
      </c>
      <c r="Q15" s="444">
        <v>0</v>
      </c>
      <c r="R15" s="444">
        <v>0</v>
      </c>
      <c r="S15" s="444">
        <v>0</v>
      </c>
      <c r="T15" s="444">
        <v>0</v>
      </c>
      <c r="U15" s="444">
        <v>0</v>
      </c>
      <c r="V15" s="444">
        <v>0</v>
      </c>
      <c r="W15" s="444">
        <v>0</v>
      </c>
      <c r="X15" s="444">
        <v>0</v>
      </c>
      <c r="Y15" s="444">
        <v>0</v>
      </c>
      <c r="Z15" s="444">
        <v>0</v>
      </c>
      <c r="AA15" s="445">
        <v>0</v>
      </c>
    </row>
    <row r="16" spans="1:27">
      <c r="A16" s="466">
        <v>1.3</v>
      </c>
      <c r="B16" s="473" t="s">
        <v>462</v>
      </c>
      <c r="C16" s="448"/>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50"/>
    </row>
    <row r="17" spans="1:27">
      <c r="A17" s="474" t="s">
        <v>426</v>
      </c>
      <c r="B17" s="475" t="s">
        <v>427</v>
      </c>
      <c r="C17" s="451">
        <f t="shared" ref="C17:C20" si="2">SUM(D17,H17,L17,T17)</f>
        <v>156820016.36295843</v>
      </c>
      <c r="D17" s="444">
        <v>138391137.31127238</v>
      </c>
      <c r="E17" s="444">
        <v>910271.83021652058</v>
      </c>
      <c r="F17" s="444">
        <v>0</v>
      </c>
      <c r="G17" s="444">
        <v>0</v>
      </c>
      <c r="H17" s="444">
        <v>12680490.70350074</v>
      </c>
      <c r="I17" s="444">
        <v>2289801.7927558515</v>
      </c>
      <c r="J17" s="444">
        <v>885545.40083610232</v>
      </c>
      <c r="K17" s="444">
        <v>0</v>
      </c>
      <c r="L17" s="444">
        <v>5748388.3481852878</v>
      </c>
      <c r="M17" s="444">
        <v>943655.65684268589</v>
      </c>
      <c r="N17" s="444">
        <v>621955.58485730609</v>
      </c>
      <c r="O17" s="444">
        <v>1188781.3574798731</v>
      </c>
      <c r="P17" s="444">
        <v>0</v>
      </c>
      <c r="Q17" s="444">
        <v>0</v>
      </c>
      <c r="R17" s="444">
        <v>0</v>
      </c>
      <c r="S17" s="444">
        <v>0</v>
      </c>
      <c r="T17" s="444">
        <v>0</v>
      </c>
      <c r="U17" s="444">
        <v>0</v>
      </c>
      <c r="V17" s="444">
        <v>0</v>
      </c>
      <c r="W17" s="444">
        <v>0</v>
      </c>
      <c r="X17" s="444">
        <v>0</v>
      </c>
      <c r="Y17" s="444">
        <v>0</v>
      </c>
      <c r="Z17" s="444">
        <v>0</v>
      </c>
      <c r="AA17" s="445">
        <v>0</v>
      </c>
    </row>
    <row r="18" spans="1:27">
      <c r="A18" s="476" t="s">
        <v>428</v>
      </c>
      <c r="B18" s="477" t="s">
        <v>429</v>
      </c>
      <c r="C18" s="451">
        <f t="shared" si="2"/>
        <v>60221989.673264496</v>
      </c>
      <c r="D18" s="444">
        <v>52629163.39019572</v>
      </c>
      <c r="E18" s="444">
        <v>172006.53859366415</v>
      </c>
      <c r="F18" s="444">
        <v>0</v>
      </c>
      <c r="G18" s="444">
        <v>0</v>
      </c>
      <c r="H18" s="444">
        <v>5085788.5040548118</v>
      </c>
      <c r="I18" s="444">
        <v>620766.3525153934</v>
      </c>
      <c r="J18" s="444">
        <v>252627.30446321823</v>
      </c>
      <c r="K18" s="444">
        <v>0</v>
      </c>
      <c r="L18" s="444">
        <v>2507037.7790139588</v>
      </c>
      <c r="M18" s="444">
        <v>443725.58924579259</v>
      </c>
      <c r="N18" s="444">
        <v>83314.735084637563</v>
      </c>
      <c r="O18" s="444">
        <v>231800.75848302757</v>
      </c>
      <c r="P18" s="444">
        <v>0</v>
      </c>
      <c r="Q18" s="444">
        <v>0</v>
      </c>
      <c r="R18" s="444">
        <v>0</v>
      </c>
      <c r="S18" s="444">
        <v>0</v>
      </c>
      <c r="T18" s="444">
        <v>0</v>
      </c>
      <c r="U18" s="444">
        <v>0</v>
      </c>
      <c r="V18" s="444">
        <v>0</v>
      </c>
      <c r="W18" s="444">
        <v>0</v>
      </c>
      <c r="X18" s="444">
        <v>0</v>
      </c>
      <c r="Y18" s="444">
        <v>0</v>
      </c>
      <c r="Z18" s="444">
        <v>0</v>
      </c>
      <c r="AA18" s="445">
        <v>0</v>
      </c>
    </row>
    <row r="19" spans="1:27">
      <c r="A19" s="474" t="s">
        <v>430</v>
      </c>
      <c r="B19" s="478" t="s">
        <v>431</v>
      </c>
      <c r="C19" s="451">
        <f t="shared" si="2"/>
        <v>268582118.12704206</v>
      </c>
      <c r="D19" s="444">
        <v>237055343.33872807</v>
      </c>
      <c r="E19" s="444">
        <v>1470337.7397834803</v>
      </c>
      <c r="F19" s="444">
        <v>0</v>
      </c>
      <c r="G19" s="444">
        <v>0</v>
      </c>
      <c r="H19" s="444">
        <v>23525291.85649924</v>
      </c>
      <c r="I19" s="444">
        <v>2998085.977244148</v>
      </c>
      <c r="J19" s="444">
        <v>1342124.9991638977</v>
      </c>
      <c r="K19" s="444">
        <v>0</v>
      </c>
      <c r="L19" s="444">
        <v>8001482.9318147097</v>
      </c>
      <c r="M19" s="444">
        <v>1631208.4831573139</v>
      </c>
      <c r="N19" s="444">
        <v>702936.09514269384</v>
      </c>
      <c r="O19" s="444">
        <v>477580.92252012668</v>
      </c>
      <c r="P19" s="444">
        <v>0</v>
      </c>
      <c r="Q19" s="444">
        <v>0</v>
      </c>
      <c r="R19" s="444">
        <v>0</v>
      </c>
      <c r="S19" s="444">
        <v>0</v>
      </c>
      <c r="T19" s="444">
        <v>0</v>
      </c>
      <c r="U19" s="444">
        <v>0</v>
      </c>
      <c r="V19" s="444">
        <v>0</v>
      </c>
      <c r="W19" s="444">
        <v>0</v>
      </c>
      <c r="X19" s="444">
        <v>0</v>
      </c>
      <c r="Y19" s="444">
        <v>0</v>
      </c>
      <c r="Z19" s="444">
        <v>0</v>
      </c>
      <c r="AA19" s="445">
        <v>0</v>
      </c>
    </row>
    <row r="20" spans="1:27">
      <c r="A20" s="476" t="s">
        <v>432</v>
      </c>
      <c r="B20" s="477" t="s">
        <v>429</v>
      </c>
      <c r="C20" s="451">
        <f t="shared" si="2"/>
        <v>213381171.47673541</v>
      </c>
      <c r="D20" s="444">
        <v>187408877.9998042</v>
      </c>
      <c r="E20" s="444">
        <v>573605.46140633582</v>
      </c>
      <c r="F20" s="444">
        <v>0</v>
      </c>
      <c r="G20" s="444">
        <v>0</v>
      </c>
      <c r="H20" s="444">
        <v>18978117.165945187</v>
      </c>
      <c r="I20" s="444">
        <v>2045287.4474846064</v>
      </c>
      <c r="J20" s="444">
        <v>1098102.0955367817</v>
      </c>
      <c r="K20" s="444">
        <v>0</v>
      </c>
      <c r="L20" s="444">
        <v>6994176.3109860411</v>
      </c>
      <c r="M20" s="444">
        <v>1380487.7507542074</v>
      </c>
      <c r="N20" s="444">
        <v>234285.26491536244</v>
      </c>
      <c r="O20" s="444">
        <v>289450.99151697243</v>
      </c>
      <c r="P20" s="444">
        <v>0</v>
      </c>
      <c r="Q20" s="444">
        <v>0</v>
      </c>
      <c r="R20" s="444">
        <v>0</v>
      </c>
      <c r="S20" s="444">
        <v>0</v>
      </c>
      <c r="T20" s="444">
        <v>0</v>
      </c>
      <c r="U20" s="444">
        <v>0</v>
      </c>
      <c r="V20" s="444">
        <v>0</v>
      </c>
      <c r="W20" s="444">
        <v>0</v>
      </c>
      <c r="X20" s="444">
        <v>0</v>
      </c>
      <c r="Y20" s="444">
        <v>0</v>
      </c>
      <c r="Z20" s="444">
        <v>0</v>
      </c>
      <c r="AA20" s="445">
        <v>0</v>
      </c>
    </row>
    <row r="21" spans="1:27">
      <c r="A21" s="479">
        <v>1.4</v>
      </c>
      <c r="B21" s="480" t="s">
        <v>433</v>
      </c>
      <c r="C21" s="451">
        <v>0</v>
      </c>
      <c r="D21" s="444">
        <v>0</v>
      </c>
      <c r="E21" s="444">
        <v>0</v>
      </c>
      <c r="F21" s="444">
        <v>0</v>
      </c>
      <c r="G21" s="444">
        <v>0</v>
      </c>
      <c r="H21" s="444">
        <v>0</v>
      </c>
      <c r="I21" s="444">
        <v>0</v>
      </c>
      <c r="J21" s="444">
        <v>0</v>
      </c>
      <c r="K21" s="444">
        <v>0</v>
      </c>
      <c r="L21" s="444">
        <v>0</v>
      </c>
      <c r="M21" s="444">
        <v>0</v>
      </c>
      <c r="N21" s="444">
        <v>0</v>
      </c>
      <c r="O21" s="444">
        <v>0</v>
      </c>
      <c r="P21" s="444">
        <v>0</v>
      </c>
      <c r="Q21" s="444">
        <v>0</v>
      </c>
      <c r="R21" s="444">
        <v>0</v>
      </c>
      <c r="S21" s="444">
        <v>0</v>
      </c>
      <c r="T21" s="444">
        <v>0</v>
      </c>
      <c r="U21" s="444">
        <v>0</v>
      </c>
      <c r="V21" s="444">
        <v>0</v>
      </c>
      <c r="W21" s="444">
        <v>0</v>
      </c>
      <c r="X21" s="444">
        <v>0</v>
      </c>
      <c r="Y21" s="444">
        <v>0</v>
      </c>
      <c r="Z21" s="444">
        <v>0</v>
      </c>
      <c r="AA21" s="445">
        <v>0</v>
      </c>
    </row>
    <row r="22" spans="1:27" ht="13.8" thickBot="1">
      <c r="A22" s="481">
        <v>1.5</v>
      </c>
      <c r="B22" s="482" t="s">
        <v>690</v>
      </c>
      <c r="C22" s="452">
        <v>0</v>
      </c>
      <c r="D22" s="453">
        <v>0</v>
      </c>
      <c r="E22" s="453">
        <v>0</v>
      </c>
      <c r="F22" s="453">
        <v>0</v>
      </c>
      <c r="G22" s="453">
        <v>0</v>
      </c>
      <c r="H22" s="453">
        <v>0</v>
      </c>
      <c r="I22" s="453">
        <v>0</v>
      </c>
      <c r="J22" s="453">
        <v>0</v>
      </c>
      <c r="K22" s="453">
        <v>0</v>
      </c>
      <c r="L22" s="453">
        <v>0</v>
      </c>
      <c r="M22" s="453">
        <v>0</v>
      </c>
      <c r="N22" s="453">
        <v>0</v>
      </c>
      <c r="O22" s="453">
        <v>0</v>
      </c>
      <c r="P22" s="453">
        <v>0</v>
      </c>
      <c r="Q22" s="453">
        <v>0</v>
      </c>
      <c r="R22" s="453">
        <v>0</v>
      </c>
      <c r="S22" s="453">
        <v>0</v>
      </c>
      <c r="T22" s="453">
        <v>0</v>
      </c>
      <c r="U22" s="453">
        <v>0</v>
      </c>
      <c r="V22" s="453">
        <v>0</v>
      </c>
      <c r="W22" s="453">
        <v>0</v>
      </c>
      <c r="X22" s="453">
        <v>0</v>
      </c>
      <c r="Y22" s="453">
        <v>0</v>
      </c>
      <c r="Z22" s="453">
        <v>0</v>
      </c>
      <c r="AA22" s="454">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sheetPr>
    <tabColor theme="0" tint="-4.9989318521683403E-2"/>
  </sheetPr>
  <dimension ref="A1:L35"/>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9.21875" defaultRowHeight="13.2"/>
  <cols>
    <col min="1" max="1" width="11.77734375" style="3" bestFit="1" customWidth="1"/>
    <col min="2" max="2" width="93.44140625" style="3" customWidth="1"/>
    <col min="3" max="3" width="14.6640625" style="3" customWidth="1"/>
    <col min="4" max="5" width="16.109375" style="3" customWidth="1"/>
    <col min="6" max="6" width="16.109375" style="486" customWidth="1"/>
    <col min="7" max="7" width="25.21875" style="486" customWidth="1"/>
    <col min="8" max="8" width="16.109375" style="3" customWidth="1"/>
    <col min="9" max="11" width="16.109375" style="486" customWidth="1"/>
    <col min="12" max="12" width="26.21875" style="486" customWidth="1"/>
    <col min="13" max="16384" width="9.21875" style="3"/>
  </cols>
  <sheetData>
    <row r="1" spans="1:12">
      <c r="A1" s="560" t="s">
        <v>680</v>
      </c>
      <c r="B1" s="574" t="str">
        <f>'Info '!C2</f>
        <v>Crystal</v>
      </c>
      <c r="F1" s="3"/>
      <c r="G1" s="3"/>
      <c r="I1" s="3"/>
      <c r="J1" s="3"/>
      <c r="K1" s="3"/>
      <c r="L1" s="3"/>
    </row>
    <row r="2" spans="1:12">
      <c r="A2" s="64" t="s">
        <v>31</v>
      </c>
      <c r="B2" s="569">
        <f>'1. key ratios '!B2</f>
        <v>45930</v>
      </c>
      <c r="F2" s="3"/>
      <c r="G2" s="3"/>
      <c r="I2" s="3"/>
      <c r="J2" s="3"/>
      <c r="K2" s="3"/>
      <c r="L2" s="3"/>
    </row>
    <row r="3" spans="1:12">
      <c r="A3" s="455" t="s">
        <v>434</v>
      </c>
      <c r="F3" s="3"/>
      <c r="G3" s="3"/>
      <c r="I3" s="3"/>
      <c r="J3" s="3"/>
      <c r="K3" s="3"/>
      <c r="L3" s="3"/>
    </row>
    <row r="4" spans="1:12">
      <c r="F4" s="3"/>
      <c r="G4" s="3"/>
      <c r="I4" s="3"/>
      <c r="J4" s="3"/>
      <c r="K4" s="3"/>
      <c r="L4" s="3"/>
    </row>
    <row r="5" spans="1:12" ht="37.5" customHeight="1">
      <c r="A5" s="792" t="s">
        <v>450</v>
      </c>
      <c r="B5" s="793"/>
      <c r="C5" s="796" t="s">
        <v>435</v>
      </c>
      <c r="D5" s="797"/>
      <c r="E5" s="797"/>
      <c r="F5" s="797"/>
      <c r="G5" s="797"/>
      <c r="H5" s="796" t="s">
        <v>594</v>
      </c>
      <c r="I5" s="798"/>
      <c r="J5" s="798"/>
      <c r="K5" s="798"/>
      <c r="L5" s="799"/>
    </row>
    <row r="6" spans="1:12" ht="39.450000000000003" customHeight="1">
      <c r="A6" s="794"/>
      <c r="B6" s="795"/>
      <c r="C6" s="680"/>
      <c r="D6" s="679" t="s">
        <v>702</v>
      </c>
      <c r="E6" s="679" t="s">
        <v>703</v>
      </c>
      <c r="F6" s="679" t="s">
        <v>704</v>
      </c>
      <c r="G6" s="679" t="s">
        <v>612</v>
      </c>
      <c r="H6" s="462"/>
      <c r="I6" s="679" t="s">
        <v>702</v>
      </c>
      <c r="J6" s="679" t="s">
        <v>703</v>
      </c>
      <c r="K6" s="679" t="s">
        <v>704</v>
      </c>
      <c r="L6" s="679" t="s">
        <v>612</v>
      </c>
    </row>
    <row r="7" spans="1:12">
      <c r="A7" s="673">
        <v>1</v>
      </c>
      <c r="B7" s="677" t="s">
        <v>453</v>
      </c>
      <c r="C7" s="676">
        <f t="shared" ref="C7:C32" si="0">SUM(D7:G7)</f>
        <v>0</v>
      </c>
      <c r="D7" s="675">
        <v>0</v>
      </c>
      <c r="E7" s="675">
        <v>0</v>
      </c>
      <c r="F7" s="674">
        <v>0</v>
      </c>
      <c r="G7" s="674">
        <v>0</v>
      </c>
      <c r="H7" s="676">
        <f t="shared" ref="H7:H32" si="1">SUM(I7:L7)</f>
        <v>0</v>
      </c>
      <c r="I7" s="675">
        <v>0</v>
      </c>
      <c r="J7" s="675">
        <v>0</v>
      </c>
      <c r="K7" s="674">
        <v>0</v>
      </c>
      <c r="L7" s="674">
        <v>0</v>
      </c>
    </row>
    <row r="8" spans="1:12">
      <c r="A8" s="673">
        <v>2</v>
      </c>
      <c r="B8" s="677" t="s">
        <v>368</v>
      </c>
      <c r="C8" s="676">
        <f t="shared" si="0"/>
        <v>0</v>
      </c>
      <c r="D8" s="675">
        <v>0</v>
      </c>
      <c r="E8" s="675">
        <v>0</v>
      </c>
      <c r="F8" s="674">
        <v>0</v>
      </c>
      <c r="G8" s="674">
        <v>0</v>
      </c>
      <c r="H8" s="676">
        <f t="shared" si="1"/>
        <v>0</v>
      </c>
      <c r="I8" s="675">
        <v>0</v>
      </c>
      <c r="J8" s="675">
        <v>0</v>
      </c>
      <c r="K8" s="674">
        <v>0</v>
      </c>
      <c r="L8" s="674">
        <v>0</v>
      </c>
    </row>
    <row r="9" spans="1:12">
      <c r="A9" s="673">
        <v>3</v>
      </c>
      <c r="B9" s="677" t="s">
        <v>369</v>
      </c>
      <c r="C9" s="676">
        <f t="shared" si="0"/>
        <v>0</v>
      </c>
      <c r="D9" s="675">
        <v>0</v>
      </c>
      <c r="E9" s="675">
        <v>0</v>
      </c>
      <c r="F9" s="674">
        <v>0</v>
      </c>
      <c r="G9" s="674">
        <v>0</v>
      </c>
      <c r="H9" s="676">
        <f t="shared" si="1"/>
        <v>0</v>
      </c>
      <c r="I9" s="675">
        <v>0</v>
      </c>
      <c r="J9" s="675">
        <v>0</v>
      </c>
      <c r="K9" s="674">
        <v>0</v>
      </c>
      <c r="L9" s="674">
        <v>0</v>
      </c>
    </row>
    <row r="10" spans="1:12">
      <c r="A10" s="673">
        <v>4</v>
      </c>
      <c r="B10" s="677" t="s">
        <v>454</v>
      </c>
      <c r="C10" s="676">
        <f t="shared" si="0"/>
        <v>0</v>
      </c>
      <c r="D10" s="675">
        <v>0</v>
      </c>
      <c r="E10" s="675">
        <v>0</v>
      </c>
      <c r="F10" s="674">
        <v>0</v>
      </c>
      <c r="G10" s="674">
        <v>0</v>
      </c>
      <c r="H10" s="676">
        <f t="shared" si="1"/>
        <v>0</v>
      </c>
      <c r="I10" s="675">
        <v>0</v>
      </c>
      <c r="J10" s="675">
        <v>0</v>
      </c>
      <c r="K10" s="674">
        <v>0</v>
      </c>
      <c r="L10" s="674">
        <v>0</v>
      </c>
    </row>
    <row r="11" spans="1:12">
      <c r="A11" s="673">
        <v>5</v>
      </c>
      <c r="B11" s="677" t="s">
        <v>370</v>
      </c>
      <c r="C11" s="676">
        <f t="shared" si="0"/>
        <v>0</v>
      </c>
      <c r="D11" s="675">
        <v>0</v>
      </c>
      <c r="E11" s="675">
        <v>0</v>
      </c>
      <c r="F11" s="674">
        <v>0</v>
      </c>
      <c r="G11" s="674">
        <v>0</v>
      </c>
      <c r="H11" s="676">
        <f t="shared" si="1"/>
        <v>0</v>
      </c>
      <c r="I11" s="675">
        <v>0</v>
      </c>
      <c r="J11" s="675">
        <v>0</v>
      </c>
      <c r="K11" s="674">
        <v>0</v>
      </c>
      <c r="L11" s="674">
        <v>0</v>
      </c>
    </row>
    <row r="12" spans="1:12">
      <c r="A12" s="673">
        <v>6</v>
      </c>
      <c r="B12" s="677" t="s">
        <v>371</v>
      </c>
      <c r="C12" s="676">
        <f t="shared" si="0"/>
        <v>0</v>
      </c>
      <c r="D12" s="675">
        <v>0</v>
      </c>
      <c r="E12" s="675">
        <v>0</v>
      </c>
      <c r="F12" s="674">
        <v>0</v>
      </c>
      <c r="G12" s="674">
        <v>0</v>
      </c>
      <c r="H12" s="676">
        <f t="shared" si="1"/>
        <v>0</v>
      </c>
      <c r="I12" s="675">
        <v>0</v>
      </c>
      <c r="J12" s="675">
        <v>0</v>
      </c>
      <c r="K12" s="674">
        <v>0</v>
      </c>
      <c r="L12" s="674">
        <v>0</v>
      </c>
    </row>
    <row r="13" spans="1:12">
      <c r="A13" s="673">
        <v>7</v>
      </c>
      <c r="B13" s="677" t="s">
        <v>372</v>
      </c>
      <c r="C13" s="676">
        <f t="shared" si="0"/>
        <v>0</v>
      </c>
      <c r="D13" s="675">
        <v>0</v>
      </c>
      <c r="E13" s="675">
        <v>0</v>
      </c>
      <c r="F13" s="674">
        <v>0</v>
      </c>
      <c r="G13" s="674">
        <v>0</v>
      </c>
      <c r="H13" s="676">
        <f t="shared" si="1"/>
        <v>0</v>
      </c>
      <c r="I13" s="675">
        <v>0</v>
      </c>
      <c r="J13" s="675">
        <v>0</v>
      </c>
      <c r="K13" s="674">
        <v>0</v>
      </c>
      <c r="L13" s="674">
        <v>0</v>
      </c>
    </row>
    <row r="14" spans="1:12">
      <c r="A14" s="673">
        <v>8</v>
      </c>
      <c r="B14" s="677" t="s">
        <v>373</v>
      </c>
      <c r="C14" s="676">
        <f t="shared" si="0"/>
        <v>0</v>
      </c>
      <c r="D14" s="675">
        <v>0</v>
      </c>
      <c r="E14" s="675">
        <v>0</v>
      </c>
      <c r="F14" s="674">
        <v>0</v>
      </c>
      <c r="G14" s="674">
        <v>0</v>
      </c>
      <c r="H14" s="676">
        <f t="shared" si="1"/>
        <v>0</v>
      </c>
      <c r="I14" s="675">
        <v>0</v>
      </c>
      <c r="J14" s="675">
        <v>0</v>
      </c>
      <c r="K14" s="674">
        <v>0</v>
      </c>
      <c r="L14" s="674">
        <v>0</v>
      </c>
    </row>
    <row r="15" spans="1:12">
      <c r="A15" s="673">
        <v>9</v>
      </c>
      <c r="B15" s="677" t="s">
        <v>374</v>
      </c>
      <c r="C15" s="676">
        <f t="shared" si="0"/>
        <v>0</v>
      </c>
      <c r="D15" s="675">
        <v>0</v>
      </c>
      <c r="E15" s="675">
        <v>0</v>
      </c>
      <c r="F15" s="674">
        <v>0</v>
      </c>
      <c r="G15" s="674">
        <v>0</v>
      </c>
      <c r="H15" s="676">
        <f t="shared" si="1"/>
        <v>0</v>
      </c>
      <c r="I15" s="675">
        <v>0</v>
      </c>
      <c r="J15" s="675">
        <v>0</v>
      </c>
      <c r="K15" s="674">
        <v>0</v>
      </c>
      <c r="L15" s="674">
        <v>0</v>
      </c>
    </row>
    <row r="16" spans="1:12">
      <c r="A16" s="673">
        <v>10</v>
      </c>
      <c r="B16" s="677" t="s">
        <v>375</v>
      </c>
      <c r="C16" s="676">
        <f t="shared" si="0"/>
        <v>0</v>
      </c>
      <c r="D16" s="675">
        <v>0</v>
      </c>
      <c r="E16" s="675">
        <v>0</v>
      </c>
      <c r="F16" s="674">
        <v>0</v>
      </c>
      <c r="G16" s="674">
        <v>0</v>
      </c>
      <c r="H16" s="676">
        <f t="shared" si="1"/>
        <v>0</v>
      </c>
      <c r="I16" s="675">
        <v>0</v>
      </c>
      <c r="J16" s="675">
        <v>0</v>
      </c>
      <c r="K16" s="674">
        <v>0</v>
      </c>
      <c r="L16" s="674">
        <v>0</v>
      </c>
    </row>
    <row r="17" spans="1:12">
      <c r="A17" s="673">
        <v>11</v>
      </c>
      <c r="B17" s="677" t="s">
        <v>376</v>
      </c>
      <c r="C17" s="676">
        <f t="shared" si="0"/>
        <v>0</v>
      </c>
      <c r="D17" s="675">
        <v>0</v>
      </c>
      <c r="E17" s="675">
        <v>0</v>
      </c>
      <c r="F17" s="674">
        <v>0</v>
      </c>
      <c r="G17" s="674">
        <v>0</v>
      </c>
      <c r="H17" s="676">
        <f t="shared" si="1"/>
        <v>0</v>
      </c>
      <c r="I17" s="675">
        <v>0</v>
      </c>
      <c r="J17" s="675">
        <v>0</v>
      </c>
      <c r="K17" s="674">
        <v>0</v>
      </c>
      <c r="L17" s="674">
        <v>0</v>
      </c>
    </row>
    <row r="18" spans="1:12">
      <c r="A18" s="673">
        <v>12</v>
      </c>
      <c r="B18" s="677" t="s">
        <v>377</v>
      </c>
      <c r="C18" s="676">
        <f t="shared" si="0"/>
        <v>64379880.980424754</v>
      </c>
      <c r="D18" s="675">
        <v>58302246.77766867</v>
      </c>
      <c r="E18" s="675">
        <v>3479255.9507605657</v>
      </c>
      <c r="F18" s="674">
        <v>2598378.2519955183</v>
      </c>
      <c r="G18" s="674">
        <v>0</v>
      </c>
      <c r="H18" s="676">
        <f t="shared" si="1"/>
        <v>2193315.31</v>
      </c>
      <c r="I18" s="675">
        <v>133855.14000000001</v>
      </c>
      <c r="J18" s="675">
        <v>254169.54</v>
      </c>
      <c r="K18" s="674">
        <v>1805290.63</v>
      </c>
      <c r="L18" s="674">
        <v>0</v>
      </c>
    </row>
    <row r="19" spans="1:12">
      <c r="A19" s="673">
        <v>13</v>
      </c>
      <c r="B19" s="677" t="s">
        <v>378</v>
      </c>
      <c r="C19" s="676">
        <f t="shared" si="0"/>
        <v>14393024.239170019</v>
      </c>
      <c r="D19" s="675">
        <v>12990256.099494087</v>
      </c>
      <c r="E19" s="675">
        <v>813649.0315642776</v>
      </c>
      <c r="F19" s="674">
        <v>589119.10811165266</v>
      </c>
      <c r="G19" s="674">
        <v>0</v>
      </c>
      <c r="H19" s="676">
        <f t="shared" si="1"/>
        <v>452679.42</v>
      </c>
      <c r="I19" s="675">
        <v>31900.6</v>
      </c>
      <c r="J19" s="675">
        <v>58764.28</v>
      </c>
      <c r="K19" s="674">
        <v>362014.54</v>
      </c>
      <c r="L19" s="674">
        <v>0</v>
      </c>
    </row>
    <row r="20" spans="1:12">
      <c r="A20" s="673">
        <v>14</v>
      </c>
      <c r="B20" s="677" t="s">
        <v>379</v>
      </c>
      <c r="C20" s="676">
        <f t="shared" si="0"/>
        <v>0</v>
      </c>
      <c r="D20" s="675">
        <v>0</v>
      </c>
      <c r="E20" s="675">
        <v>0</v>
      </c>
      <c r="F20" s="674">
        <v>0</v>
      </c>
      <c r="G20" s="674">
        <v>0</v>
      </c>
      <c r="H20" s="676">
        <f t="shared" si="1"/>
        <v>0</v>
      </c>
      <c r="I20" s="675">
        <v>0</v>
      </c>
      <c r="J20" s="675">
        <v>0</v>
      </c>
      <c r="K20" s="674">
        <v>0</v>
      </c>
      <c r="L20" s="674">
        <v>0</v>
      </c>
    </row>
    <row r="21" spans="1:12">
      <c r="A21" s="673">
        <v>15</v>
      </c>
      <c r="B21" s="677" t="s">
        <v>380</v>
      </c>
      <c r="C21" s="676">
        <f t="shared" si="0"/>
        <v>0</v>
      </c>
      <c r="D21" s="675">
        <v>0</v>
      </c>
      <c r="E21" s="675">
        <v>0</v>
      </c>
      <c r="F21" s="674">
        <v>0</v>
      </c>
      <c r="G21" s="674">
        <v>0</v>
      </c>
      <c r="H21" s="676">
        <f t="shared" si="1"/>
        <v>0</v>
      </c>
      <c r="I21" s="675">
        <v>0</v>
      </c>
      <c r="J21" s="675">
        <v>0</v>
      </c>
      <c r="K21" s="674">
        <v>0</v>
      </c>
      <c r="L21" s="674">
        <v>0</v>
      </c>
    </row>
    <row r="22" spans="1:12">
      <c r="A22" s="673">
        <v>16</v>
      </c>
      <c r="B22" s="677" t="s">
        <v>381</v>
      </c>
      <c r="C22" s="676">
        <f t="shared" si="0"/>
        <v>0</v>
      </c>
      <c r="D22" s="675">
        <v>0</v>
      </c>
      <c r="E22" s="675">
        <v>0</v>
      </c>
      <c r="F22" s="674">
        <v>0</v>
      </c>
      <c r="G22" s="674">
        <v>0</v>
      </c>
      <c r="H22" s="676">
        <f t="shared" si="1"/>
        <v>0</v>
      </c>
      <c r="I22" s="675">
        <v>0</v>
      </c>
      <c r="J22" s="675">
        <v>0</v>
      </c>
      <c r="K22" s="674">
        <v>0</v>
      </c>
      <c r="L22" s="674">
        <v>0</v>
      </c>
    </row>
    <row r="23" spans="1:12">
      <c r="A23" s="673">
        <v>17</v>
      </c>
      <c r="B23" s="677" t="s">
        <v>457</v>
      </c>
      <c r="C23" s="676">
        <f t="shared" si="0"/>
        <v>0</v>
      </c>
      <c r="D23" s="675">
        <v>0</v>
      </c>
      <c r="E23" s="675">
        <v>0</v>
      </c>
      <c r="F23" s="674">
        <v>0</v>
      </c>
      <c r="G23" s="674">
        <v>0</v>
      </c>
      <c r="H23" s="676">
        <f t="shared" si="1"/>
        <v>0</v>
      </c>
      <c r="I23" s="675">
        <v>0</v>
      </c>
      <c r="J23" s="675">
        <v>0</v>
      </c>
      <c r="K23" s="674">
        <v>0</v>
      </c>
      <c r="L23" s="674">
        <v>0</v>
      </c>
    </row>
    <row r="24" spans="1:12">
      <c r="A24" s="673">
        <v>18</v>
      </c>
      <c r="B24" s="677" t="s">
        <v>382</v>
      </c>
      <c r="C24" s="676">
        <f t="shared" si="0"/>
        <v>0</v>
      </c>
      <c r="D24" s="675">
        <v>0</v>
      </c>
      <c r="E24" s="675">
        <v>0</v>
      </c>
      <c r="F24" s="674">
        <v>0</v>
      </c>
      <c r="G24" s="674">
        <v>0</v>
      </c>
      <c r="H24" s="676">
        <f t="shared" si="1"/>
        <v>0</v>
      </c>
      <c r="I24" s="675">
        <v>0</v>
      </c>
      <c r="J24" s="675">
        <v>0</v>
      </c>
      <c r="K24" s="674">
        <v>0</v>
      </c>
      <c r="L24" s="674">
        <v>0</v>
      </c>
    </row>
    <row r="25" spans="1:12">
      <c r="A25" s="673">
        <v>19</v>
      </c>
      <c r="B25" s="677" t="s">
        <v>383</v>
      </c>
      <c r="C25" s="676">
        <f t="shared" si="0"/>
        <v>0</v>
      </c>
      <c r="D25" s="675">
        <v>0</v>
      </c>
      <c r="E25" s="675">
        <v>0</v>
      </c>
      <c r="F25" s="674">
        <v>0</v>
      </c>
      <c r="G25" s="674">
        <v>0</v>
      </c>
      <c r="H25" s="676">
        <f t="shared" si="1"/>
        <v>0</v>
      </c>
      <c r="I25" s="675">
        <v>0</v>
      </c>
      <c r="J25" s="675">
        <v>0</v>
      </c>
      <c r="K25" s="674">
        <v>0</v>
      </c>
      <c r="L25" s="674">
        <v>0</v>
      </c>
    </row>
    <row r="26" spans="1:12">
      <c r="A26" s="673">
        <v>20</v>
      </c>
      <c r="B26" s="677" t="s">
        <v>456</v>
      </c>
      <c r="C26" s="676">
        <f t="shared" si="0"/>
        <v>0</v>
      </c>
      <c r="D26" s="675">
        <v>0</v>
      </c>
      <c r="E26" s="675">
        <v>0</v>
      </c>
      <c r="F26" s="674">
        <v>0</v>
      </c>
      <c r="G26" s="674">
        <v>0</v>
      </c>
      <c r="H26" s="676">
        <f t="shared" si="1"/>
        <v>0</v>
      </c>
      <c r="I26" s="675">
        <v>0</v>
      </c>
      <c r="J26" s="675">
        <v>0</v>
      </c>
      <c r="K26" s="674">
        <v>0</v>
      </c>
      <c r="L26" s="674">
        <v>0</v>
      </c>
    </row>
    <row r="27" spans="1:12">
      <c r="A27" s="673">
        <v>21</v>
      </c>
      <c r="B27" s="677" t="s">
        <v>384</v>
      </c>
      <c r="C27" s="676">
        <f t="shared" si="0"/>
        <v>0</v>
      </c>
      <c r="D27" s="675">
        <v>0</v>
      </c>
      <c r="E27" s="675">
        <v>0</v>
      </c>
      <c r="F27" s="674">
        <v>0</v>
      </c>
      <c r="G27" s="674">
        <v>0</v>
      </c>
      <c r="H27" s="676">
        <f t="shared" si="1"/>
        <v>0</v>
      </c>
      <c r="I27" s="675">
        <v>0</v>
      </c>
      <c r="J27" s="675">
        <v>0</v>
      </c>
      <c r="K27" s="674">
        <v>0</v>
      </c>
      <c r="L27" s="674">
        <v>0</v>
      </c>
    </row>
    <row r="28" spans="1:12">
      <c r="A28" s="673">
        <v>22</v>
      </c>
      <c r="B28" s="677" t="s">
        <v>385</v>
      </c>
      <c r="C28" s="676">
        <f t="shared" si="0"/>
        <v>0</v>
      </c>
      <c r="D28" s="675">
        <v>0</v>
      </c>
      <c r="E28" s="675">
        <v>0</v>
      </c>
      <c r="F28" s="674">
        <v>0</v>
      </c>
      <c r="G28" s="674">
        <v>0</v>
      </c>
      <c r="H28" s="676">
        <f t="shared" si="1"/>
        <v>0</v>
      </c>
      <c r="I28" s="675">
        <v>0</v>
      </c>
      <c r="J28" s="675">
        <v>0</v>
      </c>
      <c r="K28" s="674">
        <v>0</v>
      </c>
      <c r="L28" s="674">
        <v>0</v>
      </c>
    </row>
    <row r="29" spans="1:12">
      <c r="A29" s="673">
        <v>23</v>
      </c>
      <c r="B29" s="677" t="s">
        <v>386</v>
      </c>
      <c r="C29" s="676">
        <f t="shared" si="0"/>
        <v>169472161.95503539</v>
      </c>
      <c r="D29" s="675">
        <v>152753956.97631752</v>
      </c>
      <c r="E29" s="675">
        <v>9946988.3285092711</v>
      </c>
      <c r="F29" s="674">
        <v>6771216.6502085887</v>
      </c>
      <c r="G29" s="674">
        <v>0</v>
      </c>
      <c r="H29" s="676">
        <f t="shared" si="1"/>
        <v>5116597.7700000033</v>
      </c>
      <c r="I29" s="675">
        <v>330856.36000000202</v>
      </c>
      <c r="J29" s="675">
        <v>563662.97000000102</v>
      </c>
      <c r="K29" s="674">
        <v>4222078.4400000004</v>
      </c>
      <c r="L29" s="674">
        <v>0</v>
      </c>
    </row>
    <row r="30" spans="1:12">
      <c r="A30" s="673">
        <v>24</v>
      </c>
      <c r="B30" s="677" t="s">
        <v>455</v>
      </c>
      <c r="C30" s="676">
        <f t="shared" si="0"/>
        <v>100835650.07992129</v>
      </c>
      <c r="D30" s="675">
        <v>91034371.687658533</v>
      </c>
      <c r="E30" s="675">
        <v>5740528.9546189429</v>
      </c>
      <c r="F30" s="674">
        <v>4060749.4376438162</v>
      </c>
      <c r="G30" s="674">
        <v>0</v>
      </c>
      <c r="H30" s="676">
        <f t="shared" si="1"/>
        <v>5316301.5100000203</v>
      </c>
      <c r="I30" s="675">
        <v>1684087.5800000201</v>
      </c>
      <c r="J30" s="675">
        <v>766418.07</v>
      </c>
      <c r="K30" s="674">
        <v>2865795.86</v>
      </c>
      <c r="L30" s="674">
        <v>0</v>
      </c>
    </row>
    <row r="31" spans="1:12">
      <c r="A31" s="673">
        <v>25</v>
      </c>
      <c r="B31" s="677" t="s">
        <v>387</v>
      </c>
      <c r="C31" s="676">
        <f t="shared" si="0"/>
        <v>209628646.58085853</v>
      </c>
      <c r="D31" s="678">
        <v>193416162.41057256</v>
      </c>
      <c r="E31" s="675">
        <v>10483196.153151782</v>
      </c>
      <c r="F31" s="674">
        <v>5729288.0171341756</v>
      </c>
      <c r="G31" s="674">
        <v>0</v>
      </c>
      <c r="H31" s="676">
        <f t="shared" si="1"/>
        <v>4575808.0299999891</v>
      </c>
      <c r="I31" s="675">
        <v>1059270.00999999</v>
      </c>
      <c r="J31" s="675">
        <v>507227.049999999</v>
      </c>
      <c r="K31" s="674">
        <v>3009310.97</v>
      </c>
      <c r="L31" s="674">
        <v>0</v>
      </c>
    </row>
    <row r="32" spans="1:12">
      <c r="A32" s="673">
        <v>26</v>
      </c>
      <c r="B32" s="677" t="s">
        <v>452</v>
      </c>
      <c r="C32" s="676">
        <f t="shared" si="0"/>
        <v>0</v>
      </c>
      <c r="D32" s="675">
        <v>0</v>
      </c>
      <c r="E32" s="675">
        <v>0</v>
      </c>
      <c r="F32" s="674">
        <v>0</v>
      </c>
      <c r="G32" s="674">
        <v>0</v>
      </c>
      <c r="H32" s="676">
        <f t="shared" si="1"/>
        <v>0</v>
      </c>
      <c r="I32" s="675">
        <v>0</v>
      </c>
      <c r="J32" s="675">
        <v>0</v>
      </c>
      <c r="K32" s="674">
        <v>0</v>
      </c>
      <c r="L32" s="674">
        <v>0</v>
      </c>
    </row>
    <row r="33" spans="1:12">
      <c r="A33" s="673">
        <v>27</v>
      </c>
      <c r="B33" s="672" t="s">
        <v>62</v>
      </c>
      <c r="C33" s="671">
        <f t="shared" ref="C33:L33" si="2">SUM(C7:C32)</f>
        <v>558709363.83541</v>
      </c>
      <c r="D33" s="670">
        <f t="shared" si="2"/>
        <v>508496993.95171142</v>
      </c>
      <c r="E33" s="670">
        <f t="shared" si="2"/>
        <v>30463618.418604836</v>
      </c>
      <c r="F33" s="669">
        <f t="shared" si="2"/>
        <v>19748751.465093751</v>
      </c>
      <c r="G33" s="669">
        <f t="shared" si="2"/>
        <v>0</v>
      </c>
      <c r="H33" s="670">
        <f t="shared" si="2"/>
        <v>17654702.040000014</v>
      </c>
      <c r="I33" s="669">
        <f t="shared" si="2"/>
        <v>3239969.6900000121</v>
      </c>
      <c r="J33" s="669">
        <f t="shared" si="2"/>
        <v>2150241.9099999997</v>
      </c>
      <c r="K33" s="669">
        <f t="shared" si="2"/>
        <v>12264490.440000001</v>
      </c>
      <c r="L33" s="669">
        <f t="shared" si="2"/>
        <v>0</v>
      </c>
    </row>
    <row r="35" spans="1:12">
      <c r="B35" s="485"/>
      <c r="C35" s="485"/>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K13"/>
  <sheetViews>
    <sheetView showGridLines="0"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ColWidth="8.77734375" defaultRowHeight="13.2"/>
  <cols>
    <col min="1" max="1" width="11.77734375" style="3" bestFit="1" customWidth="1"/>
    <col min="2" max="2" width="68.77734375" style="3" customWidth="1"/>
    <col min="3" max="11" width="28.21875" style="3" customWidth="1"/>
    <col min="12" max="16384" width="8.77734375" style="3"/>
  </cols>
  <sheetData>
    <row r="1" spans="1:11">
      <c r="A1" s="560" t="s">
        <v>680</v>
      </c>
      <c r="B1" s="574" t="str">
        <f>'Info '!C2</f>
        <v>Crystal</v>
      </c>
    </row>
    <row r="2" spans="1:11">
      <c r="A2" s="64" t="s">
        <v>31</v>
      </c>
      <c r="B2" s="569">
        <f>'1. key ratios '!B2</f>
        <v>45930</v>
      </c>
    </row>
    <row r="3" spans="1:11">
      <c r="A3" s="455" t="s">
        <v>436</v>
      </c>
    </row>
    <row r="4" spans="1:11">
      <c r="C4" s="486" t="s">
        <v>626</v>
      </c>
      <c r="D4" s="486" t="s">
        <v>625</v>
      </c>
      <c r="E4" s="486" t="s">
        <v>624</v>
      </c>
      <c r="F4" s="486" t="s">
        <v>623</v>
      </c>
      <c r="G4" s="486" t="s">
        <v>622</v>
      </c>
      <c r="H4" s="486" t="s">
        <v>621</v>
      </c>
      <c r="I4" s="486" t="s">
        <v>620</v>
      </c>
      <c r="J4" s="486" t="s">
        <v>619</v>
      </c>
      <c r="K4" s="486" t="s">
        <v>618</v>
      </c>
    </row>
    <row r="5" spans="1:11" ht="103.95" customHeight="1">
      <c r="A5" s="800" t="s">
        <v>617</v>
      </c>
      <c r="B5" s="801"/>
      <c r="C5" s="487" t="s">
        <v>437</v>
      </c>
      <c r="D5" s="487" t="s">
        <v>438</v>
      </c>
      <c r="E5" s="487" t="s">
        <v>689</v>
      </c>
      <c r="F5" s="487" t="s">
        <v>439</v>
      </c>
      <c r="G5" s="487" t="s">
        <v>440</v>
      </c>
      <c r="H5" s="487" t="s">
        <v>441</v>
      </c>
      <c r="I5" s="487" t="s">
        <v>442</v>
      </c>
      <c r="J5" s="487" t="s">
        <v>443</v>
      </c>
      <c r="K5" s="487" t="s">
        <v>444</v>
      </c>
    </row>
    <row r="6" spans="1:11">
      <c r="A6" s="484">
        <v>1</v>
      </c>
      <c r="B6" s="484" t="s">
        <v>406</v>
      </c>
      <c r="C6" s="444">
        <v>0</v>
      </c>
      <c r="D6" s="444">
        <v>0</v>
      </c>
      <c r="E6" s="444">
        <v>0</v>
      </c>
      <c r="F6" s="444">
        <v>14036234.538539231</v>
      </c>
      <c r="G6" s="444">
        <v>60221989.673264503</v>
      </c>
      <c r="H6" s="444">
        <v>0</v>
      </c>
      <c r="I6" s="444">
        <v>64917513.145146541</v>
      </c>
      <c r="J6" s="444">
        <v>17644279.006008897</v>
      </c>
      <c r="K6" s="444">
        <v>401889347.47245288</v>
      </c>
    </row>
    <row r="7" spans="1:11">
      <c r="A7" s="484">
        <v>2</v>
      </c>
      <c r="B7" s="484" t="s">
        <v>445</v>
      </c>
      <c r="C7" s="444">
        <v>0</v>
      </c>
      <c r="D7" s="444">
        <v>0</v>
      </c>
      <c r="E7" s="444">
        <v>0</v>
      </c>
      <c r="F7" s="444">
        <v>0</v>
      </c>
      <c r="G7" s="444">
        <v>0</v>
      </c>
      <c r="H7" s="444">
        <v>0</v>
      </c>
      <c r="I7" s="444">
        <v>0</v>
      </c>
      <c r="J7" s="444">
        <v>0</v>
      </c>
      <c r="K7" s="444">
        <v>0</v>
      </c>
    </row>
    <row r="8" spans="1:11">
      <c r="A8" s="484">
        <v>3</v>
      </c>
      <c r="B8" s="484" t="s">
        <v>414</v>
      </c>
      <c r="C8" s="444">
        <v>0</v>
      </c>
      <c r="D8" s="444">
        <v>0</v>
      </c>
      <c r="E8" s="444">
        <v>0</v>
      </c>
      <c r="F8" s="444">
        <v>0</v>
      </c>
      <c r="G8" s="444">
        <v>0</v>
      </c>
      <c r="H8" s="444">
        <v>0</v>
      </c>
      <c r="I8" s="444">
        <v>0</v>
      </c>
      <c r="J8" s="444">
        <v>0</v>
      </c>
      <c r="K8" s="444">
        <v>0</v>
      </c>
    </row>
    <row r="9" spans="1:11">
      <c r="A9" s="484">
        <v>4</v>
      </c>
      <c r="B9" s="488" t="s">
        <v>446</v>
      </c>
      <c r="C9" s="444">
        <v>0</v>
      </c>
      <c r="D9" s="444">
        <v>0</v>
      </c>
      <c r="E9" s="444">
        <v>0</v>
      </c>
      <c r="F9" s="444">
        <v>117006.58577676877</v>
      </c>
      <c r="G9" s="444">
        <v>2507037.7790139592</v>
      </c>
      <c r="H9" s="444">
        <v>0</v>
      </c>
      <c r="I9" s="444">
        <v>2116054.846805484</v>
      </c>
      <c r="J9" s="444">
        <v>1008289.1365890731</v>
      </c>
      <c r="K9" s="444">
        <v>14000363.116908478</v>
      </c>
    </row>
    <row r="10" spans="1:11">
      <c r="A10" s="484">
        <v>5</v>
      </c>
      <c r="B10" s="488" t="s">
        <v>447</v>
      </c>
      <c r="C10" s="444">
        <v>0</v>
      </c>
      <c r="D10" s="444">
        <v>0</v>
      </c>
      <c r="E10" s="444">
        <v>0</v>
      </c>
      <c r="F10" s="444">
        <v>0</v>
      </c>
      <c r="G10" s="444">
        <v>0</v>
      </c>
      <c r="H10" s="444">
        <v>0</v>
      </c>
      <c r="I10" s="444">
        <v>0</v>
      </c>
      <c r="J10" s="444">
        <v>0</v>
      </c>
      <c r="K10" s="444">
        <v>0</v>
      </c>
    </row>
    <row r="11" spans="1:11">
      <c r="A11" s="484">
        <v>6</v>
      </c>
      <c r="B11" s="488" t="s">
        <v>448</v>
      </c>
      <c r="C11" s="444">
        <v>0</v>
      </c>
      <c r="D11" s="444">
        <v>0</v>
      </c>
      <c r="E11" s="444">
        <v>0</v>
      </c>
      <c r="F11" s="444">
        <v>0</v>
      </c>
      <c r="G11" s="444">
        <v>0</v>
      </c>
      <c r="H11" s="444">
        <v>0</v>
      </c>
      <c r="I11" s="444">
        <v>0</v>
      </c>
      <c r="J11" s="444">
        <v>0</v>
      </c>
      <c r="K11" s="444">
        <v>0</v>
      </c>
    </row>
    <row r="13" spans="1:11">
      <c r="B13" s="14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8.77734375" defaultRowHeight="13.8"/>
  <cols>
    <col min="1" max="1" width="11.44140625" style="664" bestFit="1" customWidth="1"/>
    <col min="2" max="2" width="69.21875" style="248" customWidth="1"/>
    <col min="3" max="3" width="13.6640625" style="650" customWidth="1"/>
    <col min="4" max="4" width="14.44140625" style="650" customWidth="1"/>
    <col min="5" max="8" width="13.21875" style="650" customWidth="1"/>
    <col min="9" max="16384" width="8.77734375" style="650"/>
  </cols>
  <sheetData>
    <row r="1" spans="1:8">
      <c r="A1" s="647" t="s">
        <v>680</v>
      </c>
      <c r="B1" s="648" t="str">
        <f>'Info '!C2</f>
        <v>Crystal</v>
      </c>
      <c r="C1" s="649"/>
    </row>
    <row r="2" spans="1:8">
      <c r="A2" s="647" t="s">
        <v>31</v>
      </c>
      <c r="B2" s="651">
        <f>'1. key ratios '!B2</f>
        <v>45930</v>
      </c>
      <c r="C2" s="649"/>
    </row>
    <row r="3" spans="1:8">
      <c r="A3" s="652"/>
      <c r="B3" s="649"/>
      <c r="C3" s="649"/>
    </row>
    <row r="4" spans="1:8" ht="21" customHeight="1">
      <c r="A4" s="689" t="s">
        <v>7</v>
      </c>
      <c r="B4" s="690" t="s">
        <v>488</v>
      </c>
      <c r="C4" s="691" t="s">
        <v>489</v>
      </c>
      <c r="D4" s="691"/>
      <c r="E4" s="691"/>
      <c r="F4" s="691" t="s">
        <v>490</v>
      </c>
      <c r="G4" s="691"/>
      <c r="H4" s="692"/>
    </row>
    <row r="5" spans="1:8" ht="21" customHeight="1">
      <c r="A5" s="689"/>
      <c r="B5" s="690"/>
      <c r="C5" s="244" t="s">
        <v>32</v>
      </c>
      <c r="D5" s="244" t="s">
        <v>33</v>
      </c>
      <c r="E5" s="244" t="s">
        <v>34</v>
      </c>
      <c r="F5" s="244" t="s">
        <v>32</v>
      </c>
      <c r="G5" s="244" t="s">
        <v>33</v>
      </c>
      <c r="H5" s="244" t="s">
        <v>34</v>
      </c>
    </row>
    <row r="6" spans="1:8" ht="26.55" customHeight="1">
      <c r="A6" s="689"/>
      <c r="B6" s="514" t="s">
        <v>491</v>
      </c>
      <c r="C6" s="693"/>
      <c r="D6" s="694"/>
      <c r="E6" s="694"/>
      <c r="F6" s="694"/>
      <c r="G6" s="694"/>
      <c r="H6" s="695"/>
    </row>
    <row r="7" spans="1:8" ht="22.95" customHeight="1">
      <c r="A7" s="503">
        <v>1</v>
      </c>
      <c r="B7" s="515" t="s">
        <v>492</v>
      </c>
      <c r="C7" s="381">
        <f>SUM(C8:C10)</f>
        <v>47307890.589999996</v>
      </c>
      <c r="D7" s="381">
        <f>SUM(D8:D10)</f>
        <v>18168285.722900003</v>
      </c>
      <c r="E7" s="382">
        <f>C7+D7</f>
        <v>65476176.312899999</v>
      </c>
      <c r="F7" s="381">
        <f>SUM(F8:F10)</f>
        <v>0</v>
      </c>
      <c r="G7" s="381">
        <f>SUM(G8:G10)</f>
        <v>0</v>
      </c>
      <c r="H7" s="382">
        <f>F7+G7</f>
        <v>0</v>
      </c>
    </row>
    <row r="8" spans="1:8">
      <c r="A8" s="503">
        <v>1.1000000000000001</v>
      </c>
      <c r="B8" s="653" t="s">
        <v>493</v>
      </c>
      <c r="C8" s="381">
        <v>13243909.299999995</v>
      </c>
      <c r="D8" s="381">
        <v>16795405.323700003</v>
      </c>
      <c r="E8" s="382">
        <f t="shared" ref="E8:E36" si="0">C8+D8</f>
        <v>30039314.6237</v>
      </c>
      <c r="F8" s="381"/>
      <c r="G8" s="381"/>
      <c r="H8" s="382">
        <f t="shared" ref="H8:H36" si="1">F8+G8</f>
        <v>0</v>
      </c>
    </row>
    <row r="9" spans="1:8">
      <c r="A9" s="503">
        <v>1.2</v>
      </c>
      <c r="B9" s="653" t="s">
        <v>494</v>
      </c>
      <c r="C9" s="381">
        <v>28174408.510000002</v>
      </c>
      <c r="D9" s="381">
        <v>0</v>
      </c>
      <c r="E9" s="382">
        <f t="shared" si="0"/>
        <v>28174408.510000002</v>
      </c>
      <c r="F9" s="381"/>
      <c r="G9" s="381"/>
      <c r="H9" s="382">
        <f t="shared" si="1"/>
        <v>0</v>
      </c>
    </row>
    <row r="10" spans="1:8">
      <c r="A10" s="503">
        <v>1.3</v>
      </c>
      <c r="B10" s="653" t="s">
        <v>495</v>
      </c>
      <c r="C10" s="381">
        <v>5889572.7800000003</v>
      </c>
      <c r="D10" s="381">
        <v>1372880.3992000001</v>
      </c>
      <c r="E10" s="382">
        <f t="shared" si="0"/>
        <v>7262453.1792000001</v>
      </c>
      <c r="F10" s="381"/>
      <c r="G10" s="381"/>
      <c r="H10" s="382">
        <f t="shared" si="1"/>
        <v>0</v>
      </c>
    </row>
    <row r="11" spans="1:8">
      <c r="A11" s="503">
        <v>2</v>
      </c>
      <c r="B11" s="516" t="s">
        <v>496</v>
      </c>
      <c r="C11" s="381">
        <v>0</v>
      </c>
      <c r="D11" s="381">
        <v>0</v>
      </c>
      <c r="E11" s="382">
        <f t="shared" si="0"/>
        <v>0</v>
      </c>
      <c r="F11" s="381"/>
      <c r="G11" s="381"/>
      <c r="H11" s="382">
        <f t="shared" si="1"/>
        <v>0</v>
      </c>
    </row>
    <row r="12" spans="1:8">
      <c r="A12" s="503">
        <v>2.1</v>
      </c>
      <c r="B12" s="654" t="s">
        <v>497</v>
      </c>
      <c r="C12" s="381">
        <v>0</v>
      </c>
      <c r="D12" s="381">
        <v>0</v>
      </c>
      <c r="E12" s="382">
        <f t="shared" si="0"/>
        <v>0</v>
      </c>
      <c r="F12" s="381"/>
      <c r="G12" s="381"/>
      <c r="H12" s="382">
        <f t="shared" si="1"/>
        <v>0</v>
      </c>
    </row>
    <row r="13" spans="1:8" ht="26.55" customHeight="1">
      <c r="A13" s="503">
        <v>3</v>
      </c>
      <c r="B13" s="517" t="s">
        <v>498</v>
      </c>
      <c r="C13" s="381">
        <v>0</v>
      </c>
      <c r="D13" s="381">
        <v>0</v>
      </c>
      <c r="E13" s="382">
        <f t="shared" si="0"/>
        <v>0</v>
      </c>
      <c r="F13" s="381"/>
      <c r="G13" s="381"/>
      <c r="H13" s="382">
        <f t="shared" si="1"/>
        <v>0</v>
      </c>
    </row>
    <row r="14" spans="1:8" ht="26.55" customHeight="1">
      <c r="A14" s="503">
        <v>4</v>
      </c>
      <c r="B14" s="518" t="s">
        <v>499</v>
      </c>
      <c r="C14" s="381">
        <v>0</v>
      </c>
      <c r="D14" s="381">
        <v>0</v>
      </c>
      <c r="E14" s="382">
        <f t="shared" si="0"/>
        <v>0</v>
      </c>
      <c r="F14" s="381"/>
      <c r="G14" s="381"/>
      <c r="H14" s="382">
        <f t="shared" si="1"/>
        <v>0</v>
      </c>
    </row>
    <row r="15" spans="1:8" ht="24.45" customHeight="1">
      <c r="A15" s="503">
        <v>5</v>
      </c>
      <c r="B15" s="519" t="s">
        <v>500</v>
      </c>
      <c r="C15" s="381">
        <f>SUM(C16:C18)</f>
        <v>0</v>
      </c>
      <c r="D15" s="381">
        <f>SUM(D16:D18)</f>
        <v>0</v>
      </c>
      <c r="E15" s="382">
        <f t="shared" si="0"/>
        <v>0</v>
      </c>
      <c r="F15" s="381">
        <f>SUM(F16:F18)</f>
        <v>0</v>
      </c>
      <c r="G15" s="381">
        <f>SUM(G16:G18)</f>
        <v>0</v>
      </c>
      <c r="H15" s="382">
        <f t="shared" si="1"/>
        <v>0</v>
      </c>
    </row>
    <row r="16" spans="1:8">
      <c r="A16" s="503">
        <v>5.0999999999999996</v>
      </c>
      <c r="B16" s="655" t="s">
        <v>501</v>
      </c>
      <c r="C16" s="381">
        <v>0</v>
      </c>
      <c r="D16" s="381">
        <v>0</v>
      </c>
      <c r="E16" s="382">
        <f t="shared" si="0"/>
        <v>0</v>
      </c>
      <c r="F16" s="381"/>
      <c r="G16" s="381"/>
      <c r="H16" s="382">
        <f t="shared" si="1"/>
        <v>0</v>
      </c>
    </row>
    <row r="17" spans="1:8">
      <c r="A17" s="503">
        <v>5.2</v>
      </c>
      <c r="B17" s="655" t="s">
        <v>502</v>
      </c>
      <c r="C17" s="381">
        <v>0</v>
      </c>
      <c r="D17" s="381">
        <v>0</v>
      </c>
      <c r="E17" s="382">
        <f t="shared" si="0"/>
        <v>0</v>
      </c>
      <c r="F17" s="381"/>
      <c r="G17" s="381"/>
      <c r="H17" s="382">
        <f t="shared" si="1"/>
        <v>0</v>
      </c>
    </row>
    <row r="18" spans="1:8">
      <c r="A18" s="503">
        <v>5.3</v>
      </c>
      <c r="B18" s="656" t="s">
        <v>503</v>
      </c>
      <c r="C18" s="381">
        <v>0</v>
      </c>
      <c r="D18" s="381">
        <v>0</v>
      </c>
      <c r="E18" s="382">
        <f t="shared" si="0"/>
        <v>0</v>
      </c>
      <c r="F18" s="381"/>
      <c r="G18" s="381"/>
      <c r="H18" s="382">
        <f t="shared" si="1"/>
        <v>0</v>
      </c>
    </row>
    <row r="19" spans="1:8">
      <c r="A19" s="503">
        <v>6</v>
      </c>
      <c r="B19" s="517" t="s">
        <v>504</v>
      </c>
      <c r="C19" s="381">
        <f>SUM(C20:C21)</f>
        <v>559803236.88996446</v>
      </c>
      <c r="D19" s="381">
        <f>SUM(D20:D21)</f>
        <v>30948.554399999997</v>
      </c>
      <c r="E19" s="382">
        <f t="shared" si="0"/>
        <v>559834185.44436443</v>
      </c>
      <c r="F19" s="381">
        <f>SUM(F20:F21)</f>
        <v>0</v>
      </c>
      <c r="G19" s="381">
        <f>SUM(G20:G21)</f>
        <v>0</v>
      </c>
      <c r="H19" s="382">
        <f t="shared" si="1"/>
        <v>0</v>
      </c>
    </row>
    <row r="20" spans="1:8">
      <c r="A20" s="503">
        <v>6.1</v>
      </c>
      <c r="B20" s="655" t="s">
        <v>502</v>
      </c>
      <c r="C20" s="381">
        <v>0</v>
      </c>
      <c r="D20" s="381">
        <v>0</v>
      </c>
      <c r="E20" s="382">
        <f t="shared" si="0"/>
        <v>0</v>
      </c>
      <c r="F20" s="381"/>
      <c r="G20" s="381"/>
      <c r="H20" s="382">
        <f t="shared" si="1"/>
        <v>0</v>
      </c>
    </row>
    <row r="21" spans="1:8">
      <c r="A21" s="503">
        <v>6.2</v>
      </c>
      <c r="B21" s="656" t="s">
        <v>503</v>
      </c>
      <c r="C21" s="381">
        <v>559803236.88996446</v>
      </c>
      <c r="D21" s="381">
        <v>30948.554399999997</v>
      </c>
      <c r="E21" s="382">
        <f t="shared" si="0"/>
        <v>559834185.44436443</v>
      </c>
      <c r="F21" s="381"/>
      <c r="G21" s="381"/>
      <c r="H21" s="382">
        <f t="shared" si="1"/>
        <v>0</v>
      </c>
    </row>
    <row r="22" spans="1:8">
      <c r="A22" s="503">
        <v>7</v>
      </c>
      <c r="B22" s="516" t="s">
        <v>505</v>
      </c>
      <c r="C22" s="381">
        <v>609791</v>
      </c>
      <c r="D22" s="381">
        <v>0</v>
      </c>
      <c r="E22" s="382">
        <f t="shared" si="0"/>
        <v>609791</v>
      </c>
      <c r="F22" s="381"/>
      <c r="G22" s="381"/>
      <c r="H22" s="382">
        <f t="shared" si="1"/>
        <v>0</v>
      </c>
    </row>
    <row r="23" spans="1:8">
      <c r="A23" s="503">
        <v>8</v>
      </c>
      <c r="B23" s="516" t="s">
        <v>506</v>
      </c>
      <c r="C23" s="381">
        <v>0</v>
      </c>
      <c r="D23" s="381">
        <v>0</v>
      </c>
      <c r="E23" s="382">
        <f t="shared" si="0"/>
        <v>0</v>
      </c>
      <c r="F23" s="381"/>
      <c r="G23" s="381"/>
      <c r="H23" s="382">
        <f t="shared" si="1"/>
        <v>0</v>
      </c>
    </row>
    <row r="24" spans="1:8">
      <c r="A24" s="503">
        <v>9</v>
      </c>
      <c r="B24" s="518" t="s">
        <v>507</v>
      </c>
      <c r="C24" s="381">
        <f>SUM(C25:C26)</f>
        <v>23010500.460000001</v>
      </c>
      <c r="D24" s="381">
        <f>SUM(D25:D26)</f>
        <v>0</v>
      </c>
      <c r="E24" s="382">
        <f t="shared" si="0"/>
        <v>23010500.460000001</v>
      </c>
      <c r="F24" s="381">
        <f>SUM(F25:F26)</f>
        <v>0</v>
      </c>
      <c r="G24" s="381">
        <f>SUM(G25:G26)</f>
        <v>0</v>
      </c>
      <c r="H24" s="382">
        <f t="shared" si="1"/>
        <v>0</v>
      </c>
    </row>
    <row r="25" spans="1:8">
      <c r="A25" s="503">
        <v>9.1</v>
      </c>
      <c r="B25" s="655" t="s">
        <v>508</v>
      </c>
      <c r="C25" s="381">
        <v>23010500.460000001</v>
      </c>
      <c r="D25" s="381">
        <v>0</v>
      </c>
      <c r="E25" s="382">
        <f t="shared" si="0"/>
        <v>23010500.460000001</v>
      </c>
      <c r="F25" s="381"/>
      <c r="G25" s="381"/>
      <c r="H25" s="382">
        <f t="shared" si="1"/>
        <v>0</v>
      </c>
    </row>
    <row r="26" spans="1:8">
      <c r="A26" s="503">
        <v>9.1999999999999993</v>
      </c>
      <c r="B26" s="655" t="s">
        <v>509</v>
      </c>
      <c r="C26" s="381">
        <v>0</v>
      </c>
      <c r="D26" s="381">
        <v>0</v>
      </c>
      <c r="E26" s="382">
        <f t="shared" si="0"/>
        <v>0</v>
      </c>
      <c r="F26" s="381"/>
      <c r="G26" s="381"/>
      <c r="H26" s="382">
        <f t="shared" si="1"/>
        <v>0</v>
      </c>
    </row>
    <row r="27" spans="1:8">
      <c r="A27" s="503">
        <v>10</v>
      </c>
      <c r="B27" s="518" t="s">
        <v>510</v>
      </c>
      <c r="C27" s="381">
        <f>SUM(C28:C29)</f>
        <v>4592510.5999999996</v>
      </c>
      <c r="D27" s="381">
        <f>SUM(D28:D29)</f>
        <v>0</v>
      </c>
      <c r="E27" s="382">
        <f t="shared" si="0"/>
        <v>4592510.5999999996</v>
      </c>
      <c r="F27" s="381">
        <f>SUM(F28:F29)</f>
        <v>0</v>
      </c>
      <c r="G27" s="381">
        <f>SUM(G28:G29)</f>
        <v>0</v>
      </c>
      <c r="H27" s="382">
        <f t="shared" si="1"/>
        <v>0</v>
      </c>
    </row>
    <row r="28" spans="1:8">
      <c r="A28" s="503">
        <v>10.1</v>
      </c>
      <c r="B28" s="655" t="s">
        <v>511</v>
      </c>
      <c r="C28" s="381">
        <v>0</v>
      </c>
      <c r="D28" s="381">
        <v>0</v>
      </c>
      <c r="E28" s="382">
        <f t="shared" si="0"/>
        <v>0</v>
      </c>
      <c r="F28" s="381"/>
      <c r="G28" s="381"/>
      <c r="H28" s="382">
        <f t="shared" si="1"/>
        <v>0</v>
      </c>
    </row>
    <row r="29" spans="1:8">
      <c r="A29" s="503">
        <v>10.199999999999999</v>
      </c>
      <c r="B29" s="655" t="s">
        <v>512</v>
      </c>
      <c r="C29" s="381">
        <v>4592510.5999999996</v>
      </c>
      <c r="D29" s="381">
        <v>0</v>
      </c>
      <c r="E29" s="382">
        <f t="shared" si="0"/>
        <v>4592510.5999999996</v>
      </c>
      <c r="F29" s="381"/>
      <c r="G29" s="381"/>
      <c r="H29" s="382">
        <f t="shared" si="1"/>
        <v>0</v>
      </c>
    </row>
    <row r="30" spans="1:8">
      <c r="A30" s="503">
        <v>11</v>
      </c>
      <c r="B30" s="518" t="s">
        <v>513</v>
      </c>
      <c r="C30" s="381">
        <f>SUM(C31:C32)</f>
        <v>3213479.31</v>
      </c>
      <c r="D30" s="381">
        <f>SUM(D31:D32)</f>
        <v>0</v>
      </c>
      <c r="E30" s="382">
        <f t="shared" si="0"/>
        <v>3213479.31</v>
      </c>
      <c r="F30" s="381">
        <f>SUM(F31:F32)</f>
        <v>0</v>
      </c>
      <c r="G30" s="381">
        <f>SUM(G31:G32)</f>
        <v>0</v>
      </c>
      <c r="H30" s="382">
        <f t="shared" si="1"/>
        <v>0</v>
      </c>
    </row>
    <row r="31" spans="1:8">
      <c r="A31" s="503">
        <v>11.1</v>
      </c>
      <c r="B31" s="655" t="s">
        <v>514</v>
      </c>
      <c r="C31" s="381">
        <v>1847099.46</v>
      </c>
      <c r="D31" s="381">
        <v>0</v>
      </c>
      <c r="E31" s="382">
        <f t="shared" si="0"/>
        <v>1847099.46</v>
      </c>
      <c r="F31" s="381"/>
      <c r="G31" s="381"/>
      <c r="H31" s="382">
        <f t="shared" si="1"/>
        <v>0</v>
      </c>
    </row>
    <row r="32" spans="1:8">
      <c r="A32" s="503">
        <v>11.2</v>
      </c>
      <c r="B32" s="655" t="s">
        <v>515</v>
      </c>
      <c r="C32" s="381">
        <v>1366379.85</v>
      </c>
      <c r="D32" s="381">
        <v>0</v>
      </c>
      <c r="E32" s="382">
        <f t="shared" si="0"/>
        <v>1366379.85</v>
      </c>
      <c r="F32" s="381"/>
      <c r="G32" s="381"/>
      <c r="H32" s="382">
        <f t="shared" si="1"/>
        <v>0</v>
      </c>
    </row>
    <row r="33" spans="1:8">
      <c r="A33" s="503">
        <v>13</v>
      </c>
      <c r="B33" s="518" t="s">
        <v>516</v>
      </c>
      <c r="C33" s="381">
        <v>8503816.2899999954</v>
      </c>
      <c r="D33" s="381">
        <v>130938.88550000002</v>
      </c>
      <c r="E33" s="382">
        <f t="shared" si="0"/>
        <v>8634755.1754999962</v>
      </c>
      <c r="F33" s="381"/>
      <c r="G33" s="381"/>
      <c r="H33" s="382">
        <f t="shared" si="1"/>
        <v>0</v>
      </c>
    </row>
    <row r="34" spans="1:8">
      <c r="A34" s="503">
        <v>13.1</v>
      </c>
      <c r="B34" s="657" t="s">
        <v>517</v>
      </c>
      <c r="C34" s="381">
        <v>3265159.5400000005</v>
      </c>
      <c r="D34" s="381">
        <v>0</v>
      </c>
      <c r="E34" s="382">
        <f t="shared" si="0"/>
        <v>3265159.5400000005</v>
      </c>
      <c r="F34" s="381"/>
      <c r="G34" s="381"/>
      <c r="H34" s="382">
        <f t="shared" si="1"/>
        <v>0</v>
      </c>
    </row>
    <row r="35" spans="1:8">
      <c r="A35" s="503">
        <v>13.2</v>
      </c>
      <c r="B35" s="657" t="s">
        <v>518</v>
      </c>
      <c r="C35" s="381">
        <v>0</v>
      </c>
      <c r="D35" s="381">
        <v>0</v>
      </c>
      <c r="E35" s="382">
        <f t="shared" si="0"/>
        <v>0</v>
      </c>
      <c r="F35" s="381"/>
      <c r="G35" s="381"/>
      <c r="H35" s="382">
        <f t="shared" si="1"/>
        <v>0</v>
      </c>
    </row>
    <row r="36" spans="1:8">
      <c r="A36" s="503">
        <v>14</v>
      </c>
      <c r="B36" s="518" t="s">
        <v>519</v>
      </c>
      <c r="C36" s="381">
        <f>SUM(C7,C11,C13,C14,C15,C19,C22,C23,C24,C27,C30,C33)</f>
        <v>647041225.13996446</v>
      </c>
      <c r="D36" s="381">
        <f>SUM(D7,D11,D13,D14,D15,D19,D22,D23,D24,D27,D30,D33)</f>
        <v>18330173.162800003</v>
      </c>
      <c r="E36" s="382">
        <f t="shared" si="0"/>
        <v>665371398.30276442</v>
      </c>
      <c r="F36" s="381">
        <f>SUM(F7,F11,F13,F14,F15,F19,F22,F23,F24,F27,F30,F33)</f>
        <v>0</v>
      </c>
      <c r="G36" s="381">
        <f>SUM(G7,G11,G13,G14,G15,G19,G22,G23,G24,G27,G30,G33)</f>
        <v>0</v>
      </c>
      <c r="H36" s="382">
        <f t="shared" si="1"/>
        <v>0</v>
      </c>
    </row>
    <row r="37" spans="1:8" ht="22.5" customHeight="1">
      <c r="A37" s="503"/>
      <c r="B37" s="245" t="s">
        <v>520</v>
      </c>
      <c r="C37" s="693"/>
      <c r="D37" s="694"/>
      <c r="E37" s="694"/>
      <c r="F37" s="694"/>
      <c r="G37" s="694"/>
      <c r="H37" s="695"/>
    </row>
    <row r="38" spans="1:8">
      <c r="A38" s="503">
        <v>15</v>
      </c>
      <c r="B38" s="516" t="s">
        <v>521</v>
      </c>
      <c r="C38" s="658">
        <v>0</v>
      </c>
      <c r="D38" s="658">
        <v>0</v>
      </c>
      <c r="E38" s="659">
        <f>C38+D38</f>
        <v>0</v>
      </c>
      <c r="F38" s="658"/>
      <c r="G38" s="658"/>
      <c r="H38" s="659">
        <f>F38+G38</f>
        <v>0</v>
      </c>
    </row>
    <row r="39" spans="1:8">
      <c r="A39" s="660">
        <v>15.1</v>
      </c>
      <c r="B39" s="654" t="s">
        <v>497</v>
      </c>
      <c r="C39" s="658">
        <v>0</v>
      </c>
      <c r="D39" s="658">
        <v>0</v>
      </c>
      <c r="E39" s="659">
        <f t="shared" ref="E39:E53" si="2">C39+D39</f>
        <v>0</v>
      </c>
      <c r="F39" s="658"/>
      <c r="G39" s="658"/>
      <c r="H39" s="659">
        <f t="shared" ref="H39:H53" si="3">F39+G39</f>
        <v>0</v>
      </c>
    </row>
    <row r="40" spans="1:8" ht="24" customHeight="1">
      <c r="A40" s="660">
        <v>16</v>
      </c>
      <c r="B40" s="516" t="s">
        <v>522</v>
      </c>
      <c r="C40" s="658">
        <v>8314201.5199999902</v>
      </c>
      <c r="D40" s="658">
        <v>0</v>
      </c>
      <c r="E40" s="659">
        <f t="shared" si="2"/>
        <v>8314201.5199999902</v>
      </c>
      <c r="F40" s="658"/>
      <c r="G40" s="658"/>
      <c r="H40" s="659">
        <f t="shared" si="3"/>
        <v>0</v>
      </c>
    </row>
    <row r="41" spans="1:8">
      <c r="A41" s="660">
        <v>17</v>
      </c>
      <c r="B41" s="516" t="s">
        <v>523</v>
      </c>
      <c r="C41" s="658">
        <f>SUM(C42:C45)</f>
        <v>252621979.43999919</v>
      </c>
      <c r="D41" s="658">
        <f>SUM(D42:D45)</f>
        <v>248629688.00989994</v>
      </c>
      <c r="E41" s="659">
        <f t="shared" si="2"/>
        <v>501251667.44989914</v>
      </c>
      <c r="F41" s="658">
        <f>SUM(F42:F45)</f>
        <v>0</v>
      </c>
      <c r="G41" s="658">
        <f>SUM(G42:G45)</f>
        <v>0</v>
      </c>
      <c r="H41" s="659">
        <f t="shared" si="3"/>
        <v>0</v>
      </c>
    </row>
    <row r="42" spans="1:8">
      <c r="A42" s="660">
        <v>17.100000000000001</v>
      </c>
      <c r="B42" s="661" t="s">
        <v>524</v>
      </c>
      <c r="C42" s="658">
        <v>16780235.419999201</v>
      </c>
      <c r="D42" s="658">
        <v>7429434.6249999804</v>
      </c>
      <c r="E42" s="659">
        <f t="shared" si="2"/>
        <v>24209670.044999182</v>
      </c>
      <c r="F42" s="658"/>
      <c r="G42" s="658"/>
      <c r="H42" s="659">
        <f t="shared" si="3"/>
        <v>0</v>
      </c>
    </row>
    <row r="43" spans="1:8">
      <c r="A43" s="660">
        <v>17.2</v>
      </c>
      <c r="B43" s="653" t="s">
        <v>525</v>
      </c>
      <c r="C43" s="658">
        <v>209086993.72999999</v>
      </c>
      <c r="D43" s="658">
        <v>226997023.3908</v>
      </c>
      <c r="E43" s="659">
        <f t="shared" si="2"/>
        <v>436084017.12080002</v>
      </c>
      <c r="F43" s="658"/>
      <c r="G43" s="658"/>
      <c r="H43" s="659">
        <f t="shared" si="3"/>
        <v>0</v>
      </c>
    </row>
    <row r="44" spans="1:8">
      <c r="A44" s="660">
        <v>17.3</v>
      </c>
      <c r="B44" s="661" t="s">
        <v>526</v>
      </c>
      <c r="C44" s="658">
        <v>22470981.120000001</v>
      </c>
      <c r="D44" s="658">
        <v>14150220.6436</v>
      </c>
      <c r="E44" s="659">
        <f t="shared" si="2"/>
        <v>36621201.763599999</v>
      </c>
      <c r="F44" s="658"/>
      <c r="G44" s="658"/>
      <c r="H44" s="659">
        <f t="shared" si="3"/>
        <v>0</v>
      </c>
    </row>
    <row r="45" spans="1:8">
      <c r="A45" s="660">
        <v>17.399999999999999</v>
      </c>
      <c r="B45" s="661" t="s">
        <v>527</v>
      </c>
      <c r="C45" s="658">
        <v>4283769.17</v>
      </c>
      <c r="D45" s="658">
        <v>53009.3505</v>
      </c>
      <c r="E45" s="659">
        <f t="shared" si="2"/>
        <v>4336778.5204999996</v>
      </c>
      <c r="F45" s="658"/>
      <c r="G45" s="658"/>
      <c r="H45" s="659">
        <f t="shared" si="3"/>
        <v>0</v>
      </c>
    </row>
    <row r="46" spans="1:8">
      <c r="A46" s="660">
        <v>18</v>
      </c>
      <c r="B46" s="518" t="s">
        <v>528</v>
      </c>
      <c r="C46" s="658">
        <v>889651.43</v>
      </c>
      <c r="D46" s="658">
        <v>0</v>
      </c>
      <c r="E46" s="659">
        <f t="shared" si="2"/>
        <v>889651.43</v>
      </c>
      <c r="F46" s="658"/>
      <c r="G46" s="658"/>
      <c r="H46" s="659">
        <f t="shared" si="3"/>
        <v>0</v>
      </c>
    </row>
    <row r="47" spans="1:8">
      <c r="A47" s="660">
        <v>19</v>
      </c>
      <c r="B47" s="518" t="s">
        <v>529</v>
      </c>
      <c r="C47" s="658">
        <f>SUM(C48:C49)</f>
        <v>0</v>
      </c>
      <c r="D47" s="658">
        <f>SUM(D48:D49)</f>
        <v>0</v>
      </c>
      <c r="E47" s="659">
        <f t="shared" si="2"/>
        <v>0</v>
      </c>
      <c r="F47" s="658">
        <f>SUM(F48:F49)</f>
        <v>0</v>
      </c>
      <c r="G47" s="658">
        <f>SUM(G48:G49)</f>
        <v>0</v>
      </c>
      <c r="H47" s="659">
        <f t="shared" si="3"/>
        <v>0</v>
      </c>
    </row>
    <row r="48" spans="1:8">
      <c r="A48" s="660">
        <v>19.100000000000001</v>
      </c>
      <c r="B48" s="662" t="s">
        <v>530</v>
      </c>
      <c r="C48" s="658">
        <v>0</v>
      </c>
      <c r="D48" s="658">
        <v>0</v>
      </c>
      <c r="E48" s="659">
        <f t="shared" si="2"/>
        <v>0</v>
      </c>
      <c r="F48" s="658"/>
      <c r="G48" s="658"/>
      <c r="H48" s="659">
        <f t="shared" si="3"/>
        <v>0</v>
      </c>
    </row>
    <row r="49" spans="1:8">
      <c r="A49" s="660">
        <v>19.2</v>
      </c>
      <c r="B49" s="662" t="s">
        <v>531</v>
      </c>
      <c r="C49" s="658">
        <v>0</v>
      </c>
      <c r="D49" s="658">
        <v>0</v>
      </c>
      <c r="E49" s="659">
        <f t="shared" si="2"/>
        <v>0</v>
      </c>
      <c r="F49" s="658"/>
      <c r="G49" s="658"/>
      <c r="H49" s="659">
        <f t="shared" si="3"/>
        <v>0</v>
      </c>
    </row>
    <row r="50" spans="1:8">
      <c r="A50" s="660">
        <v>20</v>
      </c>
      <c r="B50" s="520" t="s">
        <v>532</v>
      </c>
      <c r="C50" s="658">
        <v>0</v>
      </c>
      <c r="D50" s="658">
        <v>34180216.171300001</v>
      </c>
      <c r="E50" s="659">
        <f t="shared" si="2"/>
        <v>34180216.171300001</v>
      </c>
      <c r="F50" s="658"/>
      <c r="G50" s="658"/>
      <c r="H50" s="659">
        <f t="shared" si="3"/>
        <v>0</v>
      </c>
    </row>
    <row r="51" spans="1:8">
      <c r="A51" s="660">
        <v>21</v>
      </c>
      <c r="B51" s="516" t="s">
        <v>533</v>
      </c>
      <c r="C51" s="658">
        <v>1661711.33</v>
      </c>
      <c r="D51" s="658">
        <v>13619968.025</v>
      </c>
      <c r="E51" s="659">
        <f t="shared" si="2"/>
        <v>15281679.355</v>
      </c>
      <c r="F51" s="658"/>
      <c r="G51" s="658"/>
      <c r="H51" s="659">
        <f t="shared" si="3"/>
        <v>0</v>
      </c>
    </row>
    <row r="52" spans="1:8">
      <c r="A52" s="660">
        <v>21.1</v>
      </c>
      <c r="B52" s="653" t="s">
        <v>534</v>
      </c>
      <c r="C52" s="658">
        <v>0</v>
      </c>
      <c r="D52" s="658">
        <v>64778.053599999999</v>
      </c>
      <c r="E52" s="659">
        <f t="shared" si="2"/>
        <v>64778.053599999999</v>
      </c>
      <c r="F52" s="658"/>
      <c r="G52" s="658"/>
      <c r="H52" s="659">
        <f t="shared" si="3"/>
        <v>0</v>
      </c>
    </row>
    <row r="53" spans="1:8">
      <c r="A53" s="660">
        <v>22</v>
      </c>
      <c r="B53" s="519" t="s">
        <v>535</v>
      </c>
      <c r="C53" s="658">
        <f>SUM(C38,C40,C41,C46,C47,C50,C51)</f>
        <v>263487543.71999919</v>
      </c>
      <c r="D53" s="658">
        <f>SUM(D38,D40,D41,D46,D47,D50,D51)</f>
        <v>296429872.20619994</v>
      </c>
      <c r="E53" s="659">
        <f t="shared" si="2"/>
        <v>559917415.9261992</v>
      </c>
      <c r="F53" s="658">
        <f>SUM(F38,F40,F41,F46,F47,F50,F51)</f>
        <v>0</v>
      </c>
      <c r="G53" s="658">
        <f>SUM(G38,G40,G41,G46,G47,G50,G51)</f>
        <v>0</v>
      </c>
      <c r="H53" s="659">
        <f t="shared" si="3"/>
        <v>0</v>
      </c>
    </row>
    <row r="54" spans="1:8" ht="24" customHeight="1">
      <c r="A54" s="660"/>
      <c r="B54" s="246" t="s">
        <v>536</v>
      </c>
      <c r="C54" s="686"/>
      <c r="D54" s="687"/>
      <c r="E54" s="687"/>
      <c r="F54" s="687"/>
      <c r="G54" s="687"/>
      <c r="H54" s="688"/>
    </row>
    <row r="55" spans="1:8">
      <c r="A55" s="660">
        <v>23</v>
      </c>
      <c r="B55" s="520" t="s">
        <v>638</v>
      </c>
      <c r="C55" s="658">
        <v>3634576</v>
      </c>
      <c r="D55" s="658">
        <v>0</v>
      </c>
      <c r="E55" s="659">
        <f>C55+D55</f>
        <v>3634576</v>
      </c>
      <c r="F55" s="658"/>
      <c r="G55" s="658"/>
      <c r="H55" s="659">
        <f>F55+G55</f>
        <v>0</v>
      </c>
    </row>
    <row r="56" spans="1:8">
      <c r="A56" s="660">
        <v>24</v>
      </c>
      <c r="B56" s="520" t="s">
        <v>538</v>
      </c>
      <c r="C56" s="658">
        <v>0</v>
      </c>
      <c r="D56" s="658">
        <v>0</v>
      </c>
      <c r="E56" s="659">
        <f t="shared" ref="E56:E69" si="4">C56+D56</f>
        <v>0</v>
      </c>
      <c r="F56" s="658"/>
      <c r="G56" s="658"/>
      <c r="H56" s="659">
        <f t="shared" ref="H56:H69" si="5">F56+G56</f>
        <v>0</v>
      </c>
    </row>
    <row r="57" spans="1:8">
      <c r="A57" s="660">
        <v>25</v>
      </c>
      <c r="B57" s="518" t="s">
        <v>539</v>
      </c>
      <c r="C57" s="658">
        <v>22109970.23</v>
      </c>
      <c r="D57" s="658">
        <v>0</v>
      </c>
      <c r="E57" s="659">
        <f t="shared" si="4"/>
        <v>22109970.23</v>
      </c>
      <c r="F57" s="658"/>
      <c r="G57" s="658"/>
      <c r="H57" s="659">
        <f t="shared" si="5"/>
        <v>0</v>
      </c>
    </row>
    <row r="58" spans="1:8">
      <c r="A58" s="660">
        <v>26</v>
      </c>
      <c r="B58" s="518" t="s">
        <v>540</v>
      </c>
      <c r="C58" s="658">
        <v>0</v>
      </c>
      <c r="D58" s="658">
        <v>0</v>
      </c>
      <c r="E58" s="659">
        <f t="shared" si="4"/>
        <v>0</v>
      </c>
      <c r="F58" s="658"/>
      <c r="G58" s="658"/>
      <c r="H58" s="659">
        <f t="shared" si="5"/>
        <v>0</v>
      </c>
    </row>
    <row r="59" spans="1:8">
      <c r="A59" s="660">
        <v>27</v>
      </c>
      <c r="B59" s="518" t="s">
        <v>541</v>
      </c>
      <c r="C59" s="658">
        <f>SUM(C60:C61)</f>
        <v>0</v>
      </c>
      <c r="D59" s="658">
        <f>SUM(D60:D61)</f>
        <v>0</v>
      </c>
      <c r="E59" s="659">
        <f t="shared" si="4"/>
        <v>0</v>
      </c>
      <c r="F59" s="658"/>
      <c r="G59" s="658"/>
      <c r="H59" s="659">
        <f t="shared" si="5"/>
        <v>0</v>
      </c>
    </row>
    <row r="60" spans="1:8">
      <c r="A60" s="660">
        <v>27.1</v>
      </c>
      <c r="B60" s="661" t="s">
        <v>542</v>
      </c>
      <c r="C60" s="658">
        <v>0</v>
      </c>
      <c r="D60" s="658">
        <v>0</v>
      </c>
      <c r="E60" s="659">
        <f t="shared" si="4"/>
        <v>0</v>
      </c>
      <c r="F60" s="658"/>
      <c r="G60" s="658"/>
      <c r="H60" s="659">
        <f t="shared" si="5"/>
        <v>0</v>
      </c>
    </row>
    <row r="61" spans="1:8">
      <c r="A61" s="660">
        <v>27.2</v>
      </c>
      <c r="B61" s="661" t="s">
        <v>543</v>
      </c>
      <c r="C61" s="658">
        <v>0</v>
      </c>
      <c r="D61" s="658">
        <v>0</v>
      </c>
      <c r="E61" s="659">
        <f t="shared" si="4"/>
        <v>0</v>
      </c>
      <c r="F61" s="658"/>
      <c r="G61" s="658"/>
      <c r="H61" s="659">
        <f t="shared" si="5"/>
        <v>0</v>
      </c>
    </row>
    <row r="62" spans="1:8">
      <c r="A62" s="660">
        <v>28</v>
      </c>
      <c r="B62" s="521" t="s">
        <v>544</v>
      </c>
      <c r="C62" s="658">
        <v>0</v>
      </c>
      <c r="D62" s="658">
        <v>0</v>
      </c>
      <c r="E62" s="659">
        <f t="shared" si="4"/>
        <v>0</v>
      </c>
      <c r="F62" s="658"/>
      <c r="G62" s="658"/>
      <c r="H62" s="659">
        <f t="shared" si="5"/>
        <v>0</v>
      </c>
    </row>
    <row r="63" spans="1:8">
      <c r="A63" s="660">
        <v>29</v>
      </c>
      <c r="B63" s="518" t="s">
        <v>545</v>
      </c>
      <c r="C63" s="658">
        <f>SUM(C64:C66)</f>
        <v>0</v>
      </c>
      <c r="D63" s="658">
        <f>SUM(D64:D66)</f>
        <v>0</v>
      </c>
      <c r="E63" s="659">
        <f t="shared" si="4"/>
        <v>0</v>
      </c>
      <c r="F63" s="658"/>
      <c r="G63" s="658"/>
      <c r="H63" s="659">
        <f t="shared" si="5"/>
        <v>0</v>
      </c>
    </row>
    <row r="64" spans="1:8">
      <c r="A64" s="660">
        <v>29.1</v>
      </c>
      <c r="B64" s="656" t="s">
        <v>546</v>
      </c>
      <c r="C64" s="658">
        <v>0</v>
      </c>
      <c r="D64" s="658">
        <v>0</v>
      </c>
      <c r="E64" s="659">
        <f t="shared" si="4"/>
        <v>0</v>
      </c>
      <c r="F64" s="658"/>
      <c r="G64" s="658"/>
      <c r="H64" s="659">
        <f t="shared" si="5"/>
        <v>0</v>
      </c>
    </row>
    <row r="65" spans="1:8" ht="25.05" customHeight="1">
      <c r="A65" s="660">
        <v>29.2</v>
      </c>
      <c r="B65" s="662" t="s">
        <v>547</v>
      </c>
      <c r="C65" s="658">
        <v>0</v>
      </c>
      <c r="D65" s="658">
        <v>0</v>
      </c>
      <c r="E65" s="659">
        <f t="shared" si="4"/>
        <v>0</v>
      </c>
      <c r="F65" s="658"/>
      <c r="G65" s="658"/>
      <c r="H65" s="659">
        <f t="shared" si="5"/>
        <v>0</v>
      </c>
    </row>
    <row r="66" spans="1:8" ht="22.5" customHeight="1">
      <c r="A66" s="660">
        <v>29.3</v>
      </c>
      <c r="B66" s="662" t="s">
        <v>548</v>
      </c>
      <c r="C66" s="658">
        <v>0</v>
      </c>
      <c r="D66" s="658">
        <v>0</v>
      </c>
      <c r="E66" s="659">
        <f t="shared" si="4"/>
        <v>0</v>
      </c>
      <c r="F66" s="658"/>
      <c r="G66" s="658"/>
      <c r="H66" s="659">
        <f t="shared" si="5"/>
        <v>0</v>
      </c>
    </row>
    <row r="67" spans="1:8">
      <c r="A67" s="660">
        <v>30</v>
      </c>
      <c r="B67" s="518" t="s">
        <v>549</v>
      </c>
      <c r="C67" s="658">
        <v>79709436.146565333</v>
      </c>
      <c r="D67" s="658">
        <v>0</v>
      </c>
      <c r="E67" s="659">
        <f t="shared" si="4"/>
        <v>79709436.146565333</v>
      </c>
      <c r="F67" s="658"/>
      <c r="G67" s="658"/>
      <c r="H67" s="659">
        <f t="shared" si="5"/>
        <v>0</v>
      </c>
    </row>
    <row r="68" spans="1:8">
      <c r="A68" s="660">
        <v>31</v>
      </c>
      <c r="B68" s="663" t="s">
        <v>756</v>
      </c>
      <c r="C68" s="658">
        <f>SUM(C55,C56,C57,C58,C59,C62,C63,C67)</f>
        <v>105453982.37656534</v>
      </c>
      <c r="D68" s="658">
        <f>SUM(D55,D56,D57,D58,D59,D62,D63,D67)</f>
        <v>0</v>
      </c>
      <c r="E68" s="659">
        <f t="shared" si="4"/>
        <v>105453982.37656534</v>
      </c>
      <c r="F68" s="658">
        <f>SUM(F55,F56,F57,F58,F59,F62,F63,F67)</f>
        <v>0</v>
      </c>
      <c r="G68" s="658">
        <f>SUM(G55,G56,G57,G58,G59,G62,G63,G67)</f>
        <v>0</v>
      </c>
      <c r="H68" s="659">
        <f t="shared" si="5"/>
        <v>0</v>
      </c>
    </row>
    <row r="69" spans="1:8">
      <c r="A69" s="660">
        <v>32</v>
      </c>
      <c r="B69" s="518" t="s">
        <v>551</v>
      </c>
      <c r="C69" s="658">
        <f>SUM(C53,C68)</f>
        <v>368941526.09656453</v>
      </c>
      <c r="D69" s="658">
        <f>SUM(D53,D68)</f>
        <v>296429872.20619994</v>
      </c>
      <c r="E69" s="659">
        <f t="shared" si="4"/>
        <v>665371398.30276442</v>
      </c>
      <c r="F69" s="658">
        <f>SUM(F68)</f>
        <v>0</v>
      </c>
      <c r="G69" s="658">
        <f>SUM(G68)</f>
        <v>0</v>
      </c>
      <c r="H69" s="659">
        <f t="shared" si="5"/>
        <v>0</v>
      </c>
    </row>
    <row r="72" spans="1:8">
      <c r="B72" s="248" t="s">
        <v>757</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V20"/>
  <sheetViews>
    <sheetView showGridLines="0"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ColWidth="8.77734375" defaultRowHeight="13.2"/>
  <cols>
    <col min="1" max="1" width="11.109375" style="3" bestFit="1" customWidth="1"/>
    <col min="2" max="2" width="71.77734375" style="3" customWidth="1"/>
    <col min="3" max="3" width="13.44140625" style="3" bestFit="1" customWidth="1"/>
    <col min="4" max="7" width="15.5546875" style="3" customWidth="1"/>
    <col min="8" max="8" width="13.44140625" style="3" bestFit="1" customWidth="1"/>
    <col min="9" max="12" width="17.21875" style="3" customWidth="1"/>
    <col min="13" max="13" width="11.21875" style="3" bestFit="1" customWidth="1"/>
    <col min="14" max="17" width="16.21875" style="3" customWidth="1"/>
    <col min="18" max="18" width="12.33203125" style="3" bestFit="1" customWidth="1"/>
    <col min="19" max="19" width="47" style="3" bestFit="1" customWidth="1"/>
    <col min="20" max="20" width="43.5546875" style="3" bestFit="1" customWidth="1"/>
    <col min="21" max="21" width="46" style="3" bestFit="1" customWidth="1"/>
    <col min="22" max="22" width="43.44140625" style="3" bestFit="1" customWidth="1"/>
    <col min="23" max="16384" width="8.77734375" style="3"/>
  </cols>
  <sheetData>
    <row r="1" spans="1:22">
      <c r="A1" s="562" t="s">
        <v>680</v>
      </c>
      <c r="B1" s="572" t="str">
        <f>'Info '!C2</f>
        <v>Crystal</v>
      </c>
    </row>
    <row r="2" spans="1:22">
      <c r="A2" s="64" t="s">
        <v>31</v>
      </c>
      <c r="B2" s="569">
        <f>'1. key ratios '!B2</f>
        <v>45930</v>
      </c>
    </row>
    <row r="3" spans="1:22">
      <c r="A3" s="455" t="s">
        <v>463</v>
      </c>
    </row>
    <row r="4" spans="1:22">
      <c r="A4" s="455"/>
    </row>
    <row r="5" spans="1:22" ht="24" customHeight="1">
      <c r="A5" s="802" t="s">
        <v>464</v>
      </c>
      <c r="B5" s="803"/>
      <c r="C5" s="806" t="s">
        <v>627</v>
      </c>
      <c r="D5" s="806"/>
      <c r="E5" s="806"/>
      <c r="F5" s="806"/>
      <c r="G5" s="806"/>
      <c r="H5" s="806" t="s">
        <v>482</v>
      </c>
      <c r="I5" s="806"/>
      <c r="J5" s="806"/>
      <c r="K5" s="806"/>
      <c r="L5" s="806"/>
      <c r="M5" s="806" t="s">
        <v>594</v>
      </c>
      <c r="N5" s="806"/>
      <c r="O5" s="806"/>
      <c r="P5" s="806"/>
      <c r="Q5" s="806"/>
      <c r="R5" s="777" t="s">
        <v>465</v>
      </c>
      <c r="S5" s="777" t="s">
        <v>479</v>
      </c>
      <c r="T5" s="777" t="s">
        <v>480</v>
      </c>
      <c r="U5" s="777" t="s">
        <v>635</v>
      </c>
      <c r="V5" s="777" t="s">
        <v>636</v>
      </c>
    </row>
    <row r="6" spans="1:22" ht="36" customHeight="1">
      <c r="A6" s="804"/>
      <c r="B6" s="805"/>
      <c r="C6" s="489"/>
      <c r="D6" s="483" t="s">
        <v>702</v>
      </c>
      <c r="E6" s="483" t="s">
        <v>703</v>
      </c>
      <c r="F6" s="483" t="s">
        <v>704</v>
      </c>
      <c r="G6" s="483" t="s">
        <v>612</v>
      </c>
      <c r="H6" s="489"/>
      <c r="I6" s="483" t="s">
        <v>702</v>
      </c>
      <c r="J6" s="483" t="s">
        <v>703</v>
      </c>
      <c r="K6" s="483" t="s">
        <v>704</v>
      </c>
      <c r="L6" s="483" t="s">
        <v>612</v>
      </c>
      <c r="M6" s="489"/>
      <c r="N6" s="483" t="s">
        <v>702</v>
      </c>
      <c r="O6" s="483" t="s">
        <v>703</v>
      </c>
      <c r="P6" s="483" t="s">
        <v>704</v>
      </c>
      <c r="Q6" s="483" t="s">
        <v>612</v>
      </c>
      <c r="R6" s="777"/>
      <c r="S6" s="777"/>
      <c r="T6" s="777"/>
      <c r="U6" s="777"/>
      <c r="V6" s="777"/>
    </row>
    <row r="7" spans="1:22">
      <c r="A7" s="490">
        <v>1</v>
      </c>
      <c r="B7" s="491" t="s">
        <v>473</v>
      </c>
      <c r="C7" s="444">
        <f>SUM(D7:G7)</f>
        <v>45240403.43000003</v>
      </c>
      <c r="D7" s="444">
        <v>41091836.18000003</v>
      </c>
      <c r="E7" s="444">
        <v>2967869.5000000014</v>
      </c>
      <c r="F7" s="444">
        <v>1180697.7499999998</v>
      </c>
      <c r="G7" s="444">
        <v>0</v>
      </c>
      <c r="H7" s="444">
        <f>SUM(I7:L7)</f>
        <v>45531743.65224909</v>
      </c>
      <c r="I7" s="444">
        <v>41079274.016344629</v>
      </c>
      <c r="J7" s="444">
        <v>3037329.5920566316</v>
      </c>
      <c r="K7" s="444">
        <v>1415140.0438478324</v>
      </c>
      <c r="L7" s="444">
        <v>0</v>
      </c>
      <c r="M7" s="444">
        <f>SUM(N7:Q7)</f>
        <v>243054.9899999999</v>
      </c>
      <c r="N7" s="444">
        <v>30393.5799999999</v>
      </c>
      <c r="O7" s="444">
        <v>12046.6</v>
      </c>
      <c r="P7" s="444">
        <v>200614.81</v>
      </c>
      <c r="Q7" s="444">
        <v>0</v>
      </c>
      <c r="R7" s="444">
        <v>3997</v>
      </c>
      <c r="S7" s="492">
        <v>0.30259999999999998</v>
      </c>
      <c r="T7" s="492">
        <v>0.42809999999999998</v>
      </c>
      <c r="U7" s="492">
        <v>0.30220000000000002</v>
      </c>
      <c r="V7" s="444">
        <v>19.365023767825868</v>
      </c>
    </row>
    <row r="8" spans="1:22">
      <c r="A8" s="490">
        <v>2</v>
      </c>
      <c r="B8" s="493" t="s">
        <v>472</v>
      </c>
      <c r="C8" s="444">
        <f t="shared" ref="C8:C12" si="0">SUM(D8:G8)</f>
        <v>92377649.871799961</v>
      </c>
      <c r="D8" s="444">
        <v>86309763.419999957</v>
      </c>
      <c r="E8" s="444">
        <v>3716901.930000003</v>
      </c>
      <c r="F8" s="444">
        <v>2350984.5217999988</v>
      </c>
      <c r="G8" s="444">
        <v>0</v>
      </c>
      <c r="H8" s="444">
        <f t="shared" ref="H8:H12" si="1">SUM(I8:L8)</f>
        <v>92461171.500055611</v>
      </c>
      <c r="I8" s="444">
        <v>85738095.335023209</v>
      </c>
      <c r="J8" s="444">
        <v>3812358.8195942915</v>
      </c>
      <c r="K8" s="444">
        <v>2910717.3454381102</v>
      </c>
      <c r="L8" s="444">
        <v>0</v>
      </c>
      <c r="M8" s="444">
        <f t="shared" ref="M8:M12" si="2">SUM(N8:Q8)</f>
        <v>3066179.840000004</v>
      </c>
      <c r="N8" s="444">
        <v>771239.32000000402</v>
      </c>
      <c r="O8" s="444">
        <v>344110.45</v>
      </c>
      <c r="P8" s="444">
        <v>1950830.07</v>
      </c>
      <c r="Q8" s="444">
        <v>0</v>
      </c>
      <c r="R8" s="444">
        <v>17899</v>
      </c>
      <c r="S8" s="492">
        <v>0.32069999999999999</v>
      </c>
      <c r="T8" s="492">
        <v>0.43840000000000001</v>
      </c>
      <c r="U8" s="492">
        <v>0.30909999999999999</v>
      </c>
      <c r="V8" s="444">
        <v>17.813509134588525</v>
      </c>
    </row>
    <row r="9" spans="1:22">
      <c r="A9" s="490">
        <v>3</v>
      </c>
      <c r="B9" s="493" t="s">
        <v>471</v>
      </c>
      <c r="C9" s="444">
        <f t="shared" si="0"/>
        <v>0</v>
      </c>
      <c r="D9" s="444">
        <v>0</v>
      </c>
      <c r="E9" s="444">
        <v>0</v>
      </c>
      <c r="F9" s="444">
        <v>0</v>
      </c>
      <c r="G9" s="444">
        <v>0</v>
      </c>
      <c r="H9" s="444">
        <f t="shared" si="1"/>
        <v>0</v>
      </c>
      <c r="I9" s="444">
        <v>0</v>
      </c>
      <c r="J9" s="444">
        <v>0</v>
      </c>
      <c r="K9" s="444">
        <v>0</v>
      </c>
      <c r="L9" s="444">
        <v>0</v>
      </c>
      <c r="M9" s="444">
        <f t="shared" si="2"/>
        <v>0</v>
      </c>
      <c r="N9" s="444">
        <v>0</v>
      </c>
      <c r="O9" s="444">
        <v>0</v>
      </c>
      <c r="P9" s="444">
        <v>0</v>
      </c>
      <c r="Q9" s="444">
        <v>0</v>
      </c>
      <c r="R9" s="444">
        <v>0</v>
      </c>
      <c r="S9" s="492"/>
      <c r="T9" s="492"/>
      <c r="U9" s="492"/>
      <c r="V9" s="444"/>
    </row>
    <row r="10" spans="1:22">
      <c r="A10" s="490">
        <v>4</v>
      </c>
      <c r="B10" s="493" t="s">
        <v>470</v>
      </c>
      <c r="C10" s="444">
        <f t="shared" si="0"/>
        <v>8603022.339999998</v>
      </c>
      <c r="D10" s="444">
        <v>8177055.129999999</v>
      </c>
      <c r="E10" s="444">
        <v>245898.18</v>
      </c>
      <c r="F10" s="444">
        <v>180069.03000000003</v>
      </c>
      <c r="G10" s="444">
        <v>0</v>
      </c>
      <c r="H10" s="444">
        <f t="shared" si="1"/>
        <v>8509280.1622275375</v>
      </c>
      <c r="I10" s="444">
        <v>8014278.6525041079</v>
      </c>
      <c r="J10" s="444">
        <v>260282.72502847869</v>
      </c>
      <c r="K10" s="444">
        <v>234718.78469495053</v>
      </c>
      <c r="L10" s="444">
        <v>0</v>
      </c>
      <c r="M10" s="444">
        <f t="shared" si="2"/>
        <v>186187.2</v>
      </c>
      <c r="N10" s="444">
        <v>23816.85</v>
      </c>
      <c r="O10" s="444">
        <v>18013.97</v>
      </c>
      <c r="P10" s="444">
        <v>144356.38</v>
      </c>
      <c r="Q10" s="444">
        <v>0</v>
      </c>
      <c r="R10" s="444">
        <v>8090</v>
      </c>
      <c r="S10" s="492">
        <v>0.23300000000000001</v>
      </c>
      <c r="T10" s="492">
        <v>0.2908</v>
      </c>
      <c r="U10" s="492">
        <v>0.2437</v>
      </c>
      <c r="V10" s="444">
        <v>7.7410383189122376</v>
      </c>
    </row>
    <row r="11" spans="1:22">
      <c r="A11" s="490">
        <v>5</v>
      </c>
      <c r="B11" s="493" t="s">
        <v>469</v>
      </c>
      <c r="C11" s="444">
        <f t="shared" si="0"/>
        <v>0</v>
      </c>
      <c r="D11" s="444">
        <v>0</v>
      </c>
      <c r="E11" s="444">
        <v>0</v>
      </c>
      <c r="F11" s="444">
        <v>0</v>
      </c>
      <c r="G11" s="444">
        <v>0</v>
      </c>
      <c r="H11" s="444">
        <f t="shared" si="1"/>
        <v>0</v>
      </c>
      <c r="I11" s="444">
        <v>0</v>
      </c>
      <c r="J11" s="444">
        <v>0</v>
      </c>
      <c r="K11" s="444">
        <v>0</v>
      </c>
      <c r="L11" s="444">
        <v>0</v>
      </c>
      <c r="M11" s="444">
        <f t="shared" si="2"/>
        <v>0</v>
      </c>
      <c r="N11" s="444">
        <v>0</v>
      </c>
      <c r="O11" s="444">
        <v>0</v>
      </c>
      <c r="P11" s="444">
        <v>0</v>
      </c>
      <c r="Q11" s="444">
        <v>0</v>
      </c>
      <c r="R11" s="444">
        <v>0</v>
      </c>
      <c r="S11" s="492"/>
      <c r="T11" s="492"/>
      <c r="U11" s="492"/>
      <c r="V11" s="444"/>
    </row>
    <row r="12" spans="1:22">
      <c r="A12" s="490">
        <v>6</v>
      </c>
      <c r="B12" s="493" t="s">
        <v>468</v>
      </c>
      <c r="C12" s="444">
        <f t="shared" si="0"/>
        <v>0</v>
      </c>
      <c r="D12" s="444">
        <v>0</v>
      </c>
      <c r="E12" s="444">
        <v>0</v>
      </c>
      <c r="F12" s="444">
        <v>0</v>
      </c>
      <c r="G12" s="444">
        <v>0</v>
      </c>
      <c r="H12" s="444">
        <f t="shared" si="1"/>
        <v>0</v>
      </c>
      <c r="I12" s="444">
        <v>0</v>
      </c>
      <c r="J12" s="444">
        <v>0</v>
      </c>
      <c r="K12" s="444">
        <v>0</v>
      </c>
      <c r="L12" s="444">
        <v>0</v>
      </c>
      <c r="M12" s="444">
        <f t="shared" si="2"/>
        <v>0</v>
      </c>
      <c r="N12" s="444">
        <v>0</v>
      </c>
      <c r="O12" s="444">
        <v>0</v>
      </c>
      <c r="P12" s="444">
        <v>0</v>
      </c>
      <c r="Q12" s="444">
        <v>0</v>
      </c>
      <c r="R12" s="444">
        <v>0</v>
      </c>
      <c r="S12" s="492"/>
      <c r="T12" s="492"/>
      <c r="U12" s="492"/>
      <c r="V12" s="444"/>
    </row>
    <row r="13" spans="1:22">
      <c r="A13" s="490">
        <v>7</v>
      </c>
      <c r="B13" s="493" t="s">
        <v>467</v>
      </c>
      <c r="C13" s="444">
        <f t="shared" ref="C13:R13" si="3">SUM(C14:C16)</f>
        <v>31365439.500000004</v>
      </c>
      <c r="D13" s="444">
        <f t="shared" si="3"/>
        <v>30149243.350000001</v>
      </c>
      <c r="E13" s="444">
        <f t="shared" si="3"/>
        <v>700991.9099999998</v>
      </c>
      <c r="F13" s="444">
        <f t="shared" si="3"/>
        <v>515204.24000000005</v>
      </c>
      <c r="G13" s="444">
        <f t="shared" si="3"/>
        <v>0</v>
      </c>
      <c r="H13" s="444">
        <f t="shared" si="3"/>
        <v>31209906.143847067</v>
      </c>
      <c r="I13" s="444">
        <f t="shared" si="3"/>
        <v>29907017.219797231</v>
      </c>
      <c r="J13" s="444">
        <f t="shared" si="3"/>
        <v>696416.38051166269</v>
      </c>
      <c r="K13" s="444">
        <f t="shared" si="3"/>
        <v>606472.54353817855</v>
      </c>
      <c r="L13" s="444">
        <f t="shared" si="3"/>
        <v>0</v>
      </c>
      <c r="M13" s="444">
        <f t="shared" si="3"/>
        <v>639980.84</v>
      </c>
      <c r="N13" s="444">
        <f t="shared" si="3"/>
        <v>165460.95000000001</v>
      </c>
      <c r="O13" s="444">
        <f t="shared" si="3"/>
        <v>75361.34</v>
      </c>
      <c r="P13" s="444">
        <f t="shared" si="3"/>
        <v>399158.55</v>
      </c>
      <c r="Q13" s="444">
        <f t="shared" si="3"/>
        <v>0</v>
      </c>
      <c r="R13" s="444">
        <f t="shared" si="3"/>
        <v>3463</v>
      </c>
      <c r="S13" s="492">
        <v>0.28760000000000002</v>
      </c>
      <c r="T13" s="492">
        <v>0.38090000000000002</v>
      </c>
      <c r="U13" s="492">
        <v>0.27439999999999998</v>
      </c>
      <c r="V13" s="444">
        <v>21.575223794397921</v>
      </c>
    </row>
    <row r="14" spans="1:22">
      <c r="A14" s="494">
        <v>7.1</v>
      </c>
      <c r="B14" s="495" t="s">
        <v>476</v>
      </c>
      <c r="C14" s="444">
        <f t="shared" ref="C14:C20" si="4">SUM(D14:G14)</f>
        <v>6282087.3099999949</v>
      </c>
      <c r="D14" s="444">
        <v>6157176.9899999946</v>
      </c>
      <c r="E14" s="444">
        <v>70808.25</v>
      </c>
      <c r="F14" s="444">
        <v>54102.07</v>
      </c>
      <c r="G14" s="444">
        <v>0</v>
      </c>
      <c r="H14" s="444">
        <f t="shared" ref="H14:H20" si="5">SUM(I14:L14)</f>
        <v>6241533.5613581846</v>
      </c>
      <c r="I14" s="444">
        <v>6116497.5327349249</v>
      </c>
      <c r="J14" s="444">
        <v>71137.207946212438</v>
      </c>
      <c r="K14" s="444">
        <v>53898.820677047828</v>
      </c>
      <c r="L14" s="444">
        <v>0</v>
      </c>
      <c r="M14" s="444">
        <f t="shared" ref="M14:M20" si="6">SUM(N14:Q14)</f>
        <v>63355.48</v>
      </c>
      <c r="N14" s="444">
        <v>17353.349999999999</v>
      </c>
      <c r="O14" s="444">
        <v>10315.120000000001</v>
      </c>
      <c r="P14" s="444">
        <v>35687.01</v>
      </c>
      <c r="Q14" s="444">
        <v>0</v>
      </c>
      <c r="R14" s="444">
        <v>417</v>
      </c>
      <c r="S14" s="492">
        <v>0.2742</v>
      </c>
      <c r="T14" s="492">
        <v>0.36370000000000002</v>
      </c>
      <c r="U14" s="492">
        <v>0.24690000000000001</v>
      </c>
      <c r="V14" s="444">
        <v>25.282973621103118</v>
      </c>
    </row>
    <row r="15" spans="1:22">
      <c r="A15" s="494">
        <v>7.2</v>
      </c>
      <c r="B15" s="495" t="s">
        <v>478</v>
      </c>
      <c r="C15" s="444">
        <f t="shared" si="4"/>
        <v>0</v>
      </c>
      <c r="D15" s="444">
        <v>0</v>
      </c>
      <c r="E15" s="444">
        <v>0</v>
      </c>
      <c r="F15" s="444">
        <v>0</v>
      </c>
      <c r="G15" s="444">
        <v>0</v>
      </c>
      <c r="H15" s="444">
        <f t="shared" si="5"/>
        <v>0</v>
      </c>
      <c r="I15" s="444">
        <v>0</v>
      </c>
      <c r="J15" s="444">
        <v>0</v>
      </c>
      <c r="K15" s="444">
        <v>0</v>
      </c>
      <c r="L15" s="444">
        <v>0</v>
      </c>
      <c r="M15" s="444">
        <f t="shared" si="6"/>
        <v>0</v>
      </c>
      <c r="N15" s="444">
        <v>0</v>
      </c>
      <c r="O15" s="444">
        <v>0</v>
      </c>
      <c r="P15" s="444">
        <v>0</v>
      </c>
      <c r="Q15" s="444">
        <v>0</v>
      </c>
      <c r="R15" s="444">
        <v>0</v>
      </c>
      <c r="S15" s="492"/>
      <c r="T15" s="492"/>
      <c r="U15" s="492"/>
      <c r="V15" s="444"/>
    </row>
    <row r="16" spans="1:22">
      <c r="A16" s="494">
        <v>7.3</v>
      </c>
      <c r="B16" s="495" t="s">
        <v>475</v>
      </c>
      <c r="C16" s="444">
        <f t="shared" si="4"/>
        <v>25083352.190000009</v>
      </c>
      <c r="D16" s="444">
        <v>23992066.360000007</v>
      </c>
      <c r="E16" s="444">
        <v>630183.6599999998</v>
      </c>
      <c r="F16" s="444">
        <v>461102.17000000004</v>
      </c>
      <c r="G16" s="444">
        <v>0</v>
      </c>
      <c r="H16" s="444">
        <f t="shared" si="5"/>
        <v>24968372.582488883</v>
      </c>
      <c r="I16" s="444">
        <v>23790519.687062304</v>
      </c>
      <c r="J16" s="444">
        <v>625279.17256545019</v>
      </c>
      <c r="K16" s="444">
        <v>552573.72286113072</v>
      </c>
      <c r="L16" s="444">
        <v>0</v>
      </c>
      <c r="M16" s="444">
        <f t="shared" si="6"/>
        <v>576625.36</v>
      </c>
      <c r="N16" s="444">
        <v>148107.6</v>
      </c>
      <c r="O16" s="444">
        <v>65046.22</v>
      </c>
      <c r="P16" s="444">
        <v>363471.54</v>
      </c>
      <c r="Q16" s="444">
        <v>0</v>
      </c>
      <c r="R16" s="444">
        <v>3046</v>
      </c>
      <c r="S16" s="492">
        <v>0.28939999999999999</v>
      </c>
      <c r="T16" s="492">
        <v>0.38319999999999999</v>
      </c>
      <c r="U16" s="492">
        <v>0.2782</v>
      </c>
      <c r="V16" s="444">
        <v>21.067629678266581</v>
      </c>
    </row>
    <row r="17" spans="1:22">
      <c r="A17" s="490">
        <v>8</v>
      </c>
      <c r="B17" s="493" t="s">
        <v>474</v>
      </c>
      <c r="C17" s="444">
        <f t="shared" si="4"/>
        <v>15027347.642200032</v>
      </c>
      <c r="D17" s="444">
        <v>13333474.00970003</v>
      </c>
      <c r="E17" s="444">
        <v>1538809.0025000004</v>
      </c>
      <c r="F17" s="444">
        <v>155064.63</v>
      </c>
      <c r="G17" s="444">
        <v>0</v>
      </c>
      <c r="H17" s="444">
        <f t="shared" si="5"/>
        <v>15172931.7536717</v>
      </c>
      <c r="I17" s="444">
        <v>13447740.350330552</v>
      </c>
      <c r="J17" s="444">
        <v>1564149.5121261531</v>
      </c>
      <c r="K17" s="444">
        <v>161041.89121499381</v>
      </c>
      <c r="L17" s="444">
        <v>0</v>
      </c>
      <c r="M17" s="444">
        <f t="shared" si="6"/>
        <v>65394.200000000004</v>
      </c>
      <c r="N17" s="444">
        <v>1036.77</v>
      </c>
      <c r="O17" s="444">
        <v>49.95</v>
      </c>
      <c r="P17" s="444">
        <v>64307.48</v>
      </c>
      <c r="Q17" s="444">
        <v>0</v>
      </c>
      <c r="R17" s="444">
        <v>10196</v>
      </c>
      <c r="S17" s="492">
        <v>0.2331</v>
      </c>
      <c r="T17" s="492">
        <v>0.2596</v>
      </c>
      <c r="U17" s="492">
        <v>0.245</v>
      </c>
      <c r="V17" s="444">
        <v>0.53530796390741464</v>
      </c>
    </row>
    <row r="18" spans="1:22">
      <c r="A18" s="496">
        <v>9</v>
      </c>
      <c r="B18" s="497" t="s">
        <v>466</v>
      </c>
      <c r="C18" s="444">
        <f t="shared" si="4"/>
        <v>0</v>
      </c>
      <c r="D18" s="498">
        <v>0</v>
      </c>
      <c r="E18" s="498">
        <v>0</v>
      </c>
      <c r="F18" s="498">
        <v>0</v>
      </c>
      <c r="G18" s="444">
        <v>0</v>
      </c>
      <c r="H18" s="444">
        <f t="shared" si="5"/>
        <v>0</v>
      </c>
      <c r="I18" s="498">
        <v>0</v>
      </c>
      <c r="J18" s="498">
        <v>0</v>
      </c>
      <c r="K18" s="498">
        <v>0</v>
      </c>
      <c r="L18" s="498">
        <v>0</v>
      </c>
      <c r="M18" s="444">
        <f t="shared" si="6"/>
        <v>0</v>
      </c>
      <c r="N18" s="498">
        <v>0</v>
      </c>
      <c r="O18" s="498">
        <v>0</v>
      </c>
      <c r="P18" s="498">
        <v>0</v>
      </c>
      <c r="Q18" s="498">
        <v>0</v>
      </c>
      <c r="R18" s="498">
        <v>0</v>
      </c>
      <c r="S18" s="499"/>
      <c r="T18" s="499"/>
      <c r="U18" s="499"/>
      <c r="V18" s="498"/>
    </row>
    <row r="19" spans="1:22">
      <c r="A19" s="490">
        <v>10</v>
      </c>
      <c r="B19" s="500" t="s">
        <v>477</v>
      </c>
      <c r="C19" s="501">
        <f t="shared" ref="C19:R19" si="7">SUM(C7:C13,C17:C18)</f>
        <v>192613862.78400001</v>
      </c>
      <c r="D19" s="501">
        <f t="shared" si="7"/>
        <v>179061372.08970001</v>
      </c>
      <c r="E19" s="501">
        <f t="shared" si="7"/>
        <v>9170470.5225000046</v>
      </c>
      <c r="F19" s="501">
        <f t="shared" si="7"/>
        <v>4382020.1717999987</v>
      </c>
      <c r="G19" s="501">
        <f t="shared" si="7"/>
        <v>0</v>
      </c>
      <c r="H19" s="501">
        <f t="shared" si="7"/>
        <v>192885033.21205103</v>
      </c>
      <c r="I19" s="501">
        <f t="shared" si="7"/>
        <v>178186405.57399973</v>
      </c>
      <c r="J19" s="501">
        <f t="shared" si="7"/>
        <v>9370537.0293172169</v>
      </c>
      <c r="K19" s="501">
        <f t="shared" si="7"/>
        <v>5328090.6087340647</v>
      </c>
      <c r="L19" s="501">
        <f t="shared" si="7"/>
        <v>0</v>
      </c>
      <c r="M19" s="501">
        <f t="shared" si="7"/>
        <v>4200797.070000004</v>
      </c>
      <c r="N19" s="501">
        <f t="shared" si="7"/>
        <v>991947.47000000393</v>
      </c>
      <c r="O19" s="501">
        <f t="shared" si="7"/>
        <v>449582.31</v>
      </c>
      <c r="P19" s="501">
        <f t="shared" si="7"/>
        <v>2759267.2899999996</v>
      </c>
      <c r="Q19" s="501">
        <f t="shared" si="7"/>
        <v>0</v>
      </c>
      <c r="R19" s="501">
        <f t="shared" si="7"/>
        <v>43645</v>
      </c>
      <c r="S19" s="502">
        <v>0.28999999999999998</v>
      </c>
      <c r="T19" s="502">
        <v>0.37969999999999998</v>
      </c>
      <c r="U19" s="502">
        <v>0.27979999999999999</v>
      </c>
      <c r="V19" s="501">
        <v>12.350647267728261</v>
      </c>
    </row>
    <row r="20" spans="1:22" ht="26.4">
      <c r="A20" s="494">
        <v>10.1</v>
      </c>
      <c r="B20" s="495" t="s">
        <v>481</v>
      </c>
      <c r="C20" s="444">
        <f t="shared" si="4"/>
        <v>1127270.04</v>
      </c>
      <c r="D20" s="444">
        <v>1062837.1599999999</v>
      </c>
      <c r="E20" s="444">
        <v>57362.05999999999</v>
      </c>
      <c r="F20" s="444">
        <v>7070.82</v>
      </c>
      <c r="G20" s="444">
        <v>0</v>
      </c>
      <c r="H20" s="444">
        <f t="shared" si="5"/>
        <v>1125486.553655972</v>
      </c>
      <c r="I20" s="444">
        <v>1059479.879510693</v>
      </c>
      <c r="J20" s="444">
        <v>58992.511727126635</v>
      </c>
      <c r="K20" s="444">
        <v>7014.162418152373</v>
      </c>
      <c r="L20" s="444">
        <v>0</v>
      </c>
      <c r="M20" s="444">
        <f t="shared" si="6"/>
        <v>9758.91</v>
      </c>
      <c r="N20" s="444">
        <v>2511.0100000000002</v>
      </c>
      <c r="O20" s="444">
        <v>4323.04</v>
      </c>
      <c r="P20" s="444">
        <v>2924.86</v>
      </c>
      <c r="Q20" s="444">
        <v>0</v>
      </c>
      <c r="R20" s="444">
        <v>484</v>
      </c>
      <c r="S20" s="492">
        <v>0.28039999999999998</v>
      </c>
      <c r="T20" s="492">
        <v>0.37830000000000003</v>
      </c>
      <c r="U20" s="492">
        <v>0.27089999999999997</v>
      </c>
      <c r="V20" s="444">
        <v>6.2169421487603307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RowHeight="14.4"/>
  <cols>
    <col min="1" max="1" width="11.44140625" bestFit="1" customWidth="1"/>
    <col min="2" max="2" width="66.6640625" customWidth="1"/>
    <col min="3" max="8" width="17.77734375" customWidth="1"/>
  </cols>
  <sheetData>
    <row r="1" spans="1:8" s="5" customFormat="1">
      <c r="A1" s="554" t="s">
        <v>680</v>
      </c>
      <c r="B1" s="552" t="str">
        <f>'Info '!C2</f>
        <v>Crystal</v>
      </c>
      <c r="C1" s="3"/>
      <c r="D1" s="4"/>
      <c r="E1" s="4"/>
      <c r="F1" s="4"/>
      <c r="G1" s="4"/>
    </row>
    <row r="2" spans="1:8" s="5" customFormat="1" ht="13.8">
      <c r="A2" s="64" t="s">
        <v>31</v>
      </c>
      <c r="B2" s="553">
        <f>'1. key ratios '!B2</f>
        <v>45930</v>
      </c>
      <c r="C2" s="3"/>
      <c r="D2" s="4"/>
      <c r="E2" s="4"/>
      <c r="F2" s="4"/>
      <c r="G2" s="4"/>
    </row>
    <row r="4" spans="1:8">
      <c r="A4" s="696" t="s">
        <v>7</v>
      </c>
      <c r="B4" s="698" t="s">
        <v>552</v>
      </c>
      <c r="C4" s="691" t="s">
        <v>489</v>
      </c>
      <c r="D4" s="691"/>
      <c r="E4" s="691"/>
      <c r="F4" s="691" t="s">
        <v>490</v>
      </c>
      <c r="G4" s="691"/>
      <c r="H4" s="692"/>
    </row>
    <row r="5" spans="1:8" ht="15.45" customHeight="1">
      <c r="A5" s="697"/>
      <c r="B5" s="699"/>
      <c r="C5" s="228" t="s">
        <v>32</v>
      </c>
      <c r="D5" s="228" t="s">
        <v>33</v>
      </c>
      <c r="E5" s="228" t="s">
        <v>34</v>
      </c>
      <c r="F5" s="228" t="s">
        <v>32</v>
      </c>
      <c r="G5" s="228" t="s">
        <v>33</v>
      </c>
      <c r="H5" s="228" t="s">
        <v>34</v>
      </c>
    </row>
    <row r="6" spans="1:8">
      <c r="A6" s="229">
        <v>1</v>
      </c>
      <c r="B6" s="504" t="s">
        <v>553</v>
      </c>
      <c r="C6" s="383">
        <f>SUM(C7:C12)</f>
        <v>127737678.76000001</v>
      </c>
      <c r="D6" s="383">
        <f>SUM(D7:D12)</f>
        <v>0</v>
      </c>
      <c r="E6" s="385">
        <f>C6+D6</f>
        <v>127737678.76000001</v>
      </c>
      <c r="F6" s="383">
        <f>SUM(F7:F12)</f>
        <v>0</v>
      </c>
      <c r="G6" s="383">
        <f>SUM(G7:G12)</f>
        <v>0</v>
      </c>
      <c r="H6" s="385">
        <f>F6+G6</f>
        <v>0</v>
      </c>
    </row>
    <row r="7" spans="1:8">
      <c r="A7" s="229">
        <v>1.1000000000000001</v>
      </c>
      <c r="B7" s="505" t="s">
        <v>496</v>
      </c>
      <c r="C7" s="383">
        <v>0</v>
      </c>
      <c r="D7" s="383"/>
      <c r="E7" s="385">
        <f t="shared" ref="E7:E45" si="0">C7+D7</f>
        <v>0</v>
      </c>
      <c r="F7" s="383"/>
      <c r="G7" s="383"/>
      <c r="H7" s="385">
        <f t="shared" ref="H7:H44" si="1">F7+G7</f>
        <v>0</v>
      </c>
    </row>
    <row r="8" spans="1:8">
      <c r="A8" s="229">
        <v>1.2</v>
      </c>
      <c r="B8" s="505" t="s">
        <v>498</v>
      </c>
      <c r="C8" s="383">
        <v>0</v>
      </c>
      <c r="D8" s="383"/>
      <c r="E8" s="385">
        <f t="shared" si="0"/>
        <v>0</v>
      </c>
      <c r="F8" s="383"/>
      <c r="G8" s="383"/>
      <c r="H8" s="385">
        <f t="shared" si="1"/>
        <v>0</v>
      </c>
    </row>
    <row r="9" spans="1:8" ht="21.45" customHeight="1">
      <c r="A9" s="229">
        <v>1.3</v>
      </c>
      <c r="B9" s="505" t="s">
        <v>554</v>
      </c>
      <c r="C9" s="383">
        <v>0</v>
      </c>
      <c r="D9" s="383"/>
      <c r="E9" s="385">
        <f t="shared" si="0"/>
        <v>0</v>
      </c>
      <c r="F9" s="383"/>
      <c r="G9" s="383"/>
      <c r="H9" s="385">
        <f t="shared" si="1"/>
        <v>0</v>
      </c>
    </row>
    <row r="10" spans="1:8">
      <c r="A10" s="229">
        <v>1.4</v>
      </c>
      <c r="B10" s="505" t="s">
        <v>500</v>
      </c>
      <c r="C10" s="383">
        <v>0</v>
      </c>
      <c r="D10" s="383"/>
      <c r="E10" s="385">
        <f t="shared" si="0"/>
        <v>0</v>
      </c>
      <c r="F10" s="383"/>
      <c r="G10" s="383"/>
      <c r="H10" s="385">
        <f t="shared" si="1"/>
        <v>0</v>
      </c>
    </row>
    <row r="11" spans="1:8">
      <c r="A11" s="229">
        <v>1.5</v>
      </c>
      <c r="B11" s="505" t="s">
        <v>504</v>
      </c>
      <c r="C11" s="383">
        <v>127737678.76000001</v>
      </c>
      <c r="D11" s="383"/>
      <c r="E11" s="385">
        <f t="shared" si="0"/>
        <v>127737678.76000001</v>
      </c>
      <c r="F11" s="383"/>
      <c r="G11" s="383"/>
      <c r="H11" s="385">
        <f t="shared" si="1"/>
        <v>0</v>
      </c>
    </row>
    <row r="12" spans="1:8">
      <c r="A12" s="229">
        <v>1.6</v>
      </c>
      <c r="B12" s="505" t="s">
        <v>388</v>
      </c>
      <c r="C12" s="383">
        <v>0</v>
      </c>
      <c r="D12" s="383"/>
      <c r="E12" s="385">
        <f t="shared" si="0"/>
        <v>0</v>
      </c>
      <c r="F12" s="383"/>
      <c r="G12" s="383"/>
      <c r="H12" s="385">
        <f t="shared" si="1"/>
        <v>0</v>
      </c>
    </row>
    <row r="13" spans="1:8">
      <c r="A13" s="229">
        <v>2</v>
      </c>
      <c r="B13" s="504" t="s">
        <v>555</v>
      </c>
      <c r="C13" s="383">
        <f>SUM(C14:C17)</f>
        <v>-38207695.539999999</v>
      </c>
      <c r="D13" s="383">
        <f>SUM(D14:D17)</f>
        <v>0</v>
      </c>
      <c r="E13" s="385">
        <f t="shared" si="0"/>
        <v>-38207695.539999999</v>
      </c>
      <c r="F13" s="383">
        <f>SUM(F14:F17)</f>
        <v>0</v>
      </c>
      <c r="G13" s="383">
        <f>SUM(G14:G17)</f>
        <v>0</v>
      </c>
      <c r="H13" s="385">
        <f t="shared" si="1"/>
        <v>0</v>
      </c>
    </row>
    <row r="14" spans="1:8">
      <c r="A14" s="229">
        <v>2.1</v>
      </c>
      <c r="B14" s="505" t="s">
        <v>556</v>
      </c>
      <c r="C14" s="383">
        <v>0</v>
      </c>
      <c r="D14" s="383"/>
      <c r="E14" s="385">
        <f t="shared" si="0"/>
        <v>0</v>
      </c>
      <c r="F14" s="383"/>
      <c r="G14" s="383"/>
      <c r="H14" s="385">
        <f t="shared" si="1"/>
        <v>0</v>
      </c>
    </row>
    <row r="15" spans="1:8" ht="24.45" customHeight="1">
      <c r="A15" s="229">
        <v>2.2000000000000002</v>
      </c>
      <c r="B15" s="505" t="s">
        <v>557</v>
      </c>
      <c r="C15" s="383">
        <v>0</v>
      </c>
      <c r="D15" s="383"/>
      <c r="E15" s="385">
        <f t="shared" si="0"/>
        <v>0</v>
      </c>
      <c r="F15" s="383"/>
      <c r="G15" s="383"/>
      <c r="H15" s="385">
        <f t="shared" si="1"/>
        <v>0</v>
      </c>
    </row>
    <row r="16" spans="1:8" ht="20.55" customHeight="1">
      <c r="A16" s="229">
        <v>2.2999999999999998</v>
      </c>
      <c r="B16" s="505" t="s">
        <v>558</v>
      </c>
      <c r="C16" s="383">
        <v>-37267141.759999998</v>
      </c>
      <c r="D16" s="383"/>
      <c r="E16" s="385">
        <f t="shared" si="0"/>
        <v>-37267141.759999998</v>
      </c>
      <c r="F16" s="383"/>
      <c r="G16" s="383"/>
      <c r="H16" s="385">
        <f t="shared" si="1"/>
        <v>0</v>
      </c>
    </row>
    <row r="17" spans="1:8">
      <c r="A17" s="229">
        <v>2.4</v>
      </c>
      <c r="B17" s="505" t="s">
        <v>559</v>
      </c>
      <c r="C17" s="383">
        <v>-940553.78</v>
      </c>
      <c r="D17" s="383"/>
      <c r="E17" s="385">
        <f t="shared" si="0"/>
        <v>-940553.78</v>
      </c>
      <c r="F17" s="383"/>
      <c r="G17" s="383"/>
      <c r="H17" s="385">
        <f t="shared" si="1"/>
        <v>0</v>
      </c>
    </row>
    <row r="18" spans="1:8">
      <c r="A18" s="229">
        <v>3</v>
      </c>
      <c r="B18" s="504" t="s">
        <v>560</v>
      </c>
      <c r="C18" s="383">
        <v>0</v>
      </c>
      <c r="D18" s="383"/>
      <c r="E18" s="385">
        <f t="shared" si="0"/>
        <v>0</v>
      </c>
      <c r="F18" s="383"/>
      <c r="G18" s="383"/>
      <c r="H18" s="385">
        <f t="shared" si="1"/>
        <v>0</v>
      </c>
    </row>
    <row r="19" spans="1:8">
      <c r="A19" s="229">
        <v>4</v>
      </c>
      <c r="B19" s="504" t="s">
        <v>561</v>
      </c>
      <c r="C19" s="383">
        <v>1400900.96</v>
      </c>
      <c r="D19" s="383"/>
      <c r="E19" s="385">
        <f t="shared" si="0"/>
        <v>1400900.96</v>
      </c>
      <c r="F19" s="383"/>
      <c r="G19" s="383"/>
      <c r="H19" s="385">
        <f t="shared" si="1"/>
        <v>0</v>
      </c>
    </row>
    <row r="20" spans="1:8">
      <c r="A20" s="229">
        <v>5</v>
      </c>
      <c r="B20" s="504" t="s">
        <v>562</v>
      </c>
      <c r="C20" s="383">
        <v>-195429.11</v>
      </c>
      <c r="D20" s="383"/>
      <c r="E20" s="385">
        <f t="shared" si="0"/>
        <v>-195429.11</v>
      </c>
      <c r="F20" s="383"/>
      <c r="G20" s="383"/>
      <c r="H20" s="385">
        <f t="shared" si="1"/>
        <v>0</v>
      </c>
    </row>
    <row r="21" spans="1:8" ht="24" customHeight="1">
      <c r="A21" s="229">
        <v>6</v>
      </c>
      <c r="B21" s="504" t="s">
        <v>563</v>
      </c>
      <c r="C21" s="383">
        <v>0</v>
      </c>
      <c r="D21" s="383"/>
      <c r="E21" s="385">
        <f t="shared" si="0"/>
        <v>0</v>
      </c>
      <c r="F21" s="383"/>
      <c r="G21" s="383"/>
      <c r="H21" s="385">
        <f t="shared" si="1"/>
        <v>0</v>
      </c>
    </row>
    <row r="22" spans="1:8" ht="18.45" customHeight="1">
      <c r="A22" s="229">
        <v>7</v>
      </c>
      <c r="B22" s="504" t="s">
        <v>564</v>
      </c>
      <c r="C22" s="383">
        <v>0</v>
      </c>
      <c r="D22" s="383"/>
      <c r="E22" s="385">
        <f t="shared" si="0"/>
        <v>0</v>
      </c>
      <c r="F22" s="383"/>
      <c r="G22" s="383"/>
      <c r="H22" s="385">
        <f t="shared" si="1"/>
        <v>0</v>
      </c>
    </row>
    <row r="23" spans="1:8" ht="25.5" customHeight="1">
      <c r="A23" s="229">
        <v>8</v>
      </c>
      <c r="B23" s="506" t="s">
        <v>565</v>
      </c>
      <c r="C23" s="383">
        <v>0</v>
      </c>
      <c r="D23" s="383"/>
      <c r="E23" s="385">
        <f t="shared" si="0"/>
        <v>0</v>
      </c>
      <c r="F23" s="383"/>
      <c r="G23" s="383"/>
      <c r="H23" s="385">
        <f t="shared" si="1"/>
        <v>0</v>
      </c>
    </row>
    <row r="24" spans="1:8" ht="34.5" customHeight="1">
      <c r="A24" s="229">
        <v>9</v>
      </c>
      <c r="B24" s="506" t="s">
        <v>566</v>
      </c>
      <c r="C24" s="383">
        <v>-9598927.8300000001</v>
      </c>
      <c r="D24" s="383"/>
      <c r="E24" s="385">
        <f t="shared" si="0"/>
        <v>-9598927.8300000001</v>
      </c>
      <c r="F24" s="383"/>
      <c r="G24" s="383"/>
      <c r="H24" s="385">
        <f t="shared" si="1"/>
        <v>0</v>
      </c>
    </row>
    <row r="25" spans="1:8">
      <c r="A25" s="229">
        <v>10</v>
      </c>
      <c r="B25" s="504" t="s">
        <v>567</v>
      </c>
      <c r="C25" s="383">
        <v>5105300.83</v>
      </c>
      <c r="D25" s="383"/>
      <c r="E25" s="385">
        <f t="shared" si="0"/>
        <v>5105300.83</v>
      </c>
      <c r="F25" s="383"/>
      <c r="G25" s="383"/>
      <c r="H25" s="385">
        <f t="shared" si="1"/>
        <v>0</v>
      </c>
    </row>
    <row r="26" spans="1:8">
      <c r="A26" s="229">
        <v>11</v>
      </c>
      <c r="B26" s="507" t="s">
        <v>568</v>
      </c>
      <c r="C26" s="383">
        <v>-378861.29</v>
      </c>
      <c r="D26" s="383"/>
      <c r="E26" s="385">
        <f t="shared" si="0"/>
        <v>-378861.29</v>
      </c>
      <c r="F26" s="383"/>
      <c r="G26" s="383"/>
      <c r="H26" s="385">
        <f t="shared" si="1"/>
        <v>0</v>
      </c>
    </row>
    <row r="27" spans="1:8">
      <c r="A27" s="229">
        <v>12</v>
      </c>
      <c r="B27" s="504" t="s">
        <v>569</v>
      </c>
      <c r="C27" s="383">
        <v>29739524.350000001</v>
      </c>
      <c r="D27" s="383"/>
      <c r="E27" s="385">
        <f t="shared" si="0"/>
        <v>29739524.350000001</v>
      </c>
      <c r="F27" s="383"/>
      <c r="G27" s="383"/>
      <c r="H27" s="385">
        <f t="shared" si="1"/>
        <v>0</v>
      </c>
    </row>
    <row r="28" spans="1:8">
      <c r="A28" s="229">
        <v>13</v>
      </c>
      <c r="B28" s="504" t="s">
        <v>570</v>
      </c>
      <c r="C28" s="383">
        <v>-32963682.059999999</v>
      </c>
      <c r="D28" s="383"/>
      <c r="E28" s="385">
        <f t="shared" si="0"/>
        <v>-32963682.059999999</v>
      </c>
      <c r="F28" s="383"/>
      <c r="G28" s="383"/>
      <c r="H28" s="385">
        <f t="shared" si="1"/>
        <v>0</v>
      </c>
    </row>
    <row r="29" spans="1:8">
      <c r="A29" s="229">
        <v>14</v>
      </c>
      <c r="B29" s="504" t="s">
        <v>571</v>
      </c>
      <c r="C29" s="383">
        <f>SUM(C30:C31)</f>
        <v>-43454119.509999998</v>
      </c>
      <c r="D29" s="383">
        <f>SUM(D30:D31)</f>
        <v>0</v>
      </c>
      <c r="E29" s="385">
        <f t="shared" si="0"/>
        <v>-43454119.509999998</v>
      </c>
      <c r="F29" s="383">
        <f>SUM(F30:F31)</f>
        <v>0</v>
      </c>
      <c r="G29" s="383">
        <f>SUM(G30:G31)</f>
        <v>0</v>
      </c>
      <c r="H29" s="385">
        <f t="shared" si="1"/>
        <v>0</v>
      </c>
    </row>
    <row r="30" spans="1:8">
      <c r="A30" s="229">
        <v>14.1</v>
      </c>
      <c r="B30" s="508" t="s">
        <v>572</v>
      </c>
      <c r="C30" s="383">
        <v>-32641040.18</v>
      </c>
      <c r="D30" s="383"/>
      <c r="E30" s="385">
        <f t="shared" si="0"/>
        <v>-32641040.18</v>
      </c>
      <c r="F30" s="383"/>
      <c r="G30" s="383"/>
      <c r="H30" s="385">
        <f t="shared" si="1"/>
        <v>0</v>
      </c>
    </row>
    <row r="31" spans="1:8">
      <c r="A31" s="229">
        <v>14.2</v>
      </c>
      <c r="B31" s="508" t="s">
        <v>573</v>
      </c>
      <c r="C31" s="383">
        <v>-10813079.33</v>
      </c>
      <c r="D31" s="383"/>
      <c r="E31" s="385">
        <f t="shared" si="0"/>
        <v>-10813079.33</v>
      </c>
      <c r="F31" s="383"/>
      <c r="G31" s="383"/>
      <c r="H31" s="385">
        <f t="shared" si="1"/>
        <v>0</v>
      </c>
    </row>
    <row r="32" spans="1:8">
      <c r="A32" s="229">
        <v>15</v>
      </c>
      <c r="B32" s="504" t="s">
        <v>574</v>
      </c>
      <c r="C32" s="383">
        <v>-5655237.7199999997</v>
      </c>
      <c r="D32" s="383"/>
      <c r="E32" s="385">
        <f t="shared" si="0"/>
        <v>-5655237.7199999997</v>
      </c>
      <c r="F32" s="383"/>
      <c r="G32" s="383"/>
      <c r="H32" s="385">
        <f t="shared" si="1"/>
        <v>0</v>
      </c>
    </row>
    <row r="33" spans="1:8" ht="22.5" customHeight="1">
      <c r="A33" s="229">
        <v>16</v>
      </c>
      <c r="B33" s="509" t="s">
        <v>575</v>
      </c>
      <c r="C33" s="383">
        <v>0</v>
      </c>
      <c r="D33" s="383"/>
      <c r="E33" s="385">
        <f t="shared" si="0"/>
        <v>0</v>
      </c>
      <c r="F33" s="383"/>
      <c r="G33" s="383"/>
      <c r="H33" s="385">
        <f t="shared" si="1"/>
        <v>0</v>
      </c>
    </row>
    <row r="34" spans="1:8">
      <c r="A34" s="229">
        <v>17</v>
      </c>
      <c r="B34" s="504" t="s">
        <v>576</v>
      </c>
      <c r="C34" s="383">
        <f>SUM(C35:C36)</f>
        <v>0</v>
      </c>
      <c r="D34" s="383">
        <f>SUM(D35:D36)</f>
        <v>0</v>
      </c>
      <c r="E34" s="385">
        <f t="shared" si="0"/>
        <v>0</v>
      </c>
      <c r="F34" s="383">
        <f>SUM(F35:F36)</f>
        <v>0</v>
      </c>
      <c r="G34" s="383">
        <f>SUM(G35:G36)</f>
        <v>0</v>
      </c>
      <c r="H34" s="385">
        <f t="shared" si="1"/>
        <v>0</v>
      </c>
    </row>
    <row r="35" spans="1:8">
      <c r="A35" s="229">
        <v>17.100000000000001</v>
      </c>
      <c r="B35" s="508" t="s">
        <v>577</v>
      </c>
      <c r="C35" s="383">
        <v>0</v>
      </c>
      <c r="D35" s="383"/>
      <c r="E35" s="385">
        <f t="shared" si="0"/>
        <v>0</v>
      </c>
      <c r="F35" s="383"/>
      <c r="G35" s="383"/>
      <c r="H35" s="385">
        <f t="shared" si="1"/>
        <v>0</v>
      </c>
    </row>
    <row r="36" spans="1:8">
      <c r="A36" s="229">
        <v>17.2</v>
      </c>
      <c r="B36" s="508" t="s">
        <v>578</v>
      </c>
      <c r="C36" s="383">
        <v>0</v>
      </c>
      <c r="D36" s="383"/>
      <c r="E36" s="385">
        <f t="shared" si="0"/>
        <v>0</v>
      </c>
      <c r="F36" s="383"/>
      <c r="G36" s="383"/>
      <c r="H36" s="385">
        <f t="shared" si="1"/>
        <v>0</v>
      </c>
    </row>
    <row r="37" spans="1:8" ht="41.55" customHeight="1">
      <c r="A37" s="229">
        <v>18</v>
      </c>
      <c r="B37" s="510" t="s">
        <v>579</v>
      </c>
      <c r="C37" s="383">
        <f>SUM(C38:C39)</f>
        <v>-17798406.420000002</v>
      </c>
      <c r="D37" s="383">
        <f>SUM(D38:D39)</f>
        <v>0</v>
      </c>
      <c r="E37" s="385">
        <f t="shared" si="0"/>
        <v>-17798406.420000002</v>
      </c>
      <c r="F37" s="383">
        <f>SUM(F38:F39)</f>
        <v>0</v>
      </c>
      <c r="G37" s="383">
        <f>SUM(G38:G39)</f>
        <v>0</v>
      </c>
      <c r="H37" s="385">
        <f t="shared" si="1"/>
        <v>0</v>
      </c>
    </row>
    <row r="38" spans="1:8">
      <c r="A38" s="229">
        <v>18.100000000000001</v>
      </c>
      <c r="B38" s="511" t="s">
        <v>580</v>
      </c>
      <c r="C38" s="383">
        <v>0</v>
      </c>
      <c r="D38" s="383"/>
      <c r="E38" s="385">
        <f t="shared" si="0"/>
        <v>0</v>
      </c>
      <c r="F38" s="383"/>
      <c r="G38" s="383"/>
      <c r="H38" s="385">
        <f t="shared" si="1"/>
        <v>0</v>
      </c>
    </row>
    <row r="39" spans="1:8">
      <c r="A39" s="229">
        <v>18.2</v>
      </c>
      <c r="B39" s="511" t="s">
        <v>581</v>
      </c>
      <c r="C39" s="383">
        <v>-17798406.420000002</v>
      </c>
      <c r="D39" s="383"/>
      <c r="E39" s="385">
        <f t="shared" si="0"/>
        <v>-17798406.420000002</v>
      </c>
      <c r="F39" s="383"/>
      <c r="G39" s="383"/>
      <c r="H39" s="385">
        <f t="shared" si="1"/>
        <v>0</v>
      </c>
    </row>
    <row r="40" spans="1:8" ht="24.45" customHeight="1">
      <c r="A40" s="229">
        <v>19</v>
      </c>
      <c r="B40" s="510" t="s">
        <v>582</v>
      </c>
      <c r="C40" s="383">
        <v>0</v>
      </c>
      <c r="D40" s="383"/>
      <c r="E40" s="385">
        <f t="shared" si="0"/>
        <v>0</v>
      </c>
      <c r="F40" s="383"/>
      <c r="G40" s="383"/>
      <c r="H40" s="385">
        <f t="shared" si="1"/>
        <v>0</v>
      </c>
    </row>
    <row r="41" spans="1:8" ht="17.55" customHeight="1">
      <c r="A41" s="229">
        <v>20</v>
      </c>
      <c r="B41" s="510" t="s">
        <v>583</v>
      </c>
      <c r="C41" s="383">
        <v>-407469.44</v>
      </c>
      <c r="D41" s="383"/>
      <c r="E41" s="385">
        <f t="shared" si="0"/>
        <v>-407469.44</v>
      </c>
      <c r="F41" s="383"/>
      <c r="G41" s="383"/>
      <c r="H41" s="385">
        <f t="shared" si="1"/>
        <v>0</v>
      </c>
    </row>
    <row r="42" spans="1:8" ht="26.55" customHeight="1">
      <c r="A42" s="229">
        <v>21</v>
      </c>
      <c r="B42" s="510" t="s">
        <v>584</v>
      </c>
      <c r="C42" s="383">
        <v>0</v>
      </c>
      <c r="D42" s="383"/>
      <c r="E42" s="385">
        <f t="shared" si="0"/>
        <v>0</v>
      </c>
      <c r="F42" s="383"/>
      <c r="G42" s="383"/>
      <c r="H42" s="385">
        <f t="shared" si="1"/>
        <v>0</v>
      </c>
    </row>
    <row r="43" spans="1:8">
      <c r="A43" s="229">
        <v>22</v>
      </c>
      <c r="B43" s="512" t="s">
        <v>585</v>
      </c>
      <c r="C43" s="383">
        <f>SUM(C6,C13,C18,C19,C20,C21,C22,C23,C24,C25,C26,C27,C28,C29,C32,C33,C34,C37,C40,C41,C42)</f>
        <v>15323575.979999995</v>
      </c>
      <c r="D43" s="383">
        <f>SUM(D6,D13,D18,D19,D20,D21,D22,D23,D24,D25,D26,D27,D28,D29,D32,D33,D34,D37,D40,D41,D42)</f>
        <v>0</v>
      </c>
      <c r="E43" s="385">
        <f t="shared" si="0"/>
        <v>15323575.979999995</v>
      </c>
      <c r="F43" s="383">
        <f>SUM(F6,F13,F18,F19,F20,F21,F22,F23,F24,F25,F26,F27,F28,F29,F32,F33,F34,F37,F40,F41,F42)</f>
        <v>0</v>
      </c>
      <c r="G43" s="383">
        <f>SUM(G6,G13,G18,G19,G20,G21,G22,G23,G24,G25,G26,G27,G28,G29,G32,G33,G34,G37,G40,G41,G42)</f>
        <v>0</v>
      </c>
      <c r="H43" s="385">
        <f t="shared" si="1"/>
        <v>0</v>
      </c>
    </row>
    <row r="44" spans="1:8">
      <c r="A44" s="229">
        <v>23</v>
      </c>
      <c r="B44" s="512" t="s">
        <v>586</v>
      </c>
      <c r="C44" s="383">
        <v>-3064715.2</v>
      </c>
      <c r="D44" s="383"/>
      <c r="E44" s="385">
        <f t="shared" si="0"/>
        <v>-3064715.2</v>
      </c>
      <c r="F44" s="383"/>
      <c r="G44" s="383"/>
      <c r="H44" s="385">
        <f t="shared" si="1"/>
        <v>0</v>
      </c>
    </row>
    <row r="45" spans="1:8">
      <c r="A45" s="229">
        <v>24</v>
      </c>
      <c r="B45" s="513" t="s">
        <v>587</v>
      </c>
      <c r="C45" s="384">
        <f>C43+C44</f>
        <v>12258860.779999994</v>
      </c>
      <c r="D45" s="384">
        <f>D43+D44</f>
        <v>0</v>
      </c>
      <c r="E45" s="386">
        <f t="shared" si="0"/>
        <v>12258860.779999994</v>
      </c>
      <c r="F45" s="384">
        <f>F43+F44</f>
        <v>0</v>
      </c>
      <c r="G45" s="384">
        <f>G43+G44</f>
        <v>0</v>
      </c>
      <c r="H45" s="385">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70" zoomScaleNormal="70" workbookViewId="0">
      <pane xSplit="2" ySplit="5" topLeftCell="C6" activePane="bottomRight" state="frozen"/>
      <selection pane="topRight" activeCell="C1" sqref="C1"/>
      <selection pane="bottomLeft" activeCell="A6" sqref="A6"/>
      <selection pane="bottomRight" activeCell="C6" sqref="C6"/>
    </sheetView>
  </sheetViews>
  <sheetFormatPr defaultColWidth="8.77734375" defaultRowHeight="13.8"/>
  <cols>
    <col min="1" max="1" width="11.44140625" style="247" bestFit="1" customWidth="1"/>
    <col min="2" max="2" width="87.6640625" style="243" bestFit="1" customWidth="1"/>
    <col min="3" max="8" width="15.44140625" style="243" customWidth="1"/>
    <col min="9" max="16384" width="8.77734375" style="243"/>
  </cols>
  <sheetData>
    <row r="1" spans="1:8">
      <c r="A1" s="554" t="s">
        <v>680</v>
      </c>
      <c r="B1" s="555" t="str">
        <f>'Info '!C2</f>
        <v>Crystal</v>
      </c>
      <c r="C1" s="242"/>
    </row>
    <row r="2" spans="1:8">
      <c r="A2" s="554" t="s">
        <v>31</v>
      </c>
      <c r="B2" s="556">
        <f>'1. key ratios '!B2</f>
        <v>45930</v>
      </c>
      <c r="C2" s="242"/>
    </row>
    <row r="3" spans="1:8" ht="14.4" thickBot="1">
      <c r="A3" s="243"/>
    </row>
    <row r="4" spans="1:8">
      <c r="A4" s="700" t="s">
        <v>7</v>
      </c>
      <c r="B4" s="701" t="s">
        <v>87</v>
      </c>
      <c r="C4" s="702" t="s">
        <v>489</v>
      </c>
      <c r="D4" s="702"/>
      <c r="E4" s="702"/>
      <c r="F4" s="702" t="s">
        <v>490</v>
      </c>
      <c r="G4" s="702"/>
      <c r="H4" s="703"/>
    </row>
    <row r="5" spans="1:8">
      <c r="A5" s="700"/>
      <c r="B5" s="701"/>
      <c r="C5" s="228" t="s">
        <v>32</v>
      </c>
      <c r="D5" s="228" t="s">
        <v>33</v>
      </c>
      <c r="E5" s="228" t="s">
        <v>34</v>
      </c>
      <c r="F5" s="228" t="s">
        <v>32</v>
      </c>
      <c r="G5" s="228" t="s">
        <v>33</v>
      </c>
      <c r="H5" s="228" t="s">
        <v>34</v>
      </c>
    </row>
    <row r="6" spans="1:8">
      <c r="A6" s="236">
        <v>1</v>
      </c>
      <c r="B6" s="231" t="s">
        <v>588</v>
      </c>
      <c r="C6" s="642">
        <v>0</v>
      </c>
      <c r="D6" s="642">
        <v>0</v>
      </c>
      <c r="E6" s="643">
        <f t="shared" ref="E6:E43" si="0">C6+D6</f>
        <v>0</v>
      </c>
      <c r="F6" s="642"/>
      <c r="G6" s="642"/>
      <c r="H6" s="644">
        <f t="shared" ref="H6:H43" si="1">F6+G6</f>
        <v>0</v>
      </c>
    </row>
    <row r="7" spans="1:8">
      <c r="A7" s="236">
        <v>2</v>
      </c>
      <c r="B7" s="231" t="s">
        <v>676</v>
      </c>
      <c r="C7" s="642">
        <v>0</v>
      </c>
      <c r="D7" s="642">
        <v>0</v>
      </c>
      <c r="E7" s="643">
        <f t="shared" si="0"/>
        <v>0</v>
      </c>
      <c r="F7" s="642"/>
      <c r="G7" s="642"/>
      <c r="H7" s="644">
        <f t="shared" si="1"/>
        <v>0</v>
      </c>
    </row>
    <row r="8" spans="1:8">
      <c r="A8" s="236">
        <v>3</v>
      </c>
      <c r="B8" s="231" t="s">
        <v>677</v>
      </c>
      <c r="C8" s="642">
        <f>C9+C10</f>
        <v>1117703180.3099999</v>
      </c>
      <c r="D8" s="642">
        <f>D9+D10</f>
        <v>8311853.9312000005</v>
      </c>
      <c r="E8" s="643">
        <f t="shared" si="0"/>
        <v>1126015034.2412</v>
      </c>
      <c r="F8" s="642">
        <f>F9+F10</f>
        <v>0</v>
      </c>
      <c r="G8" s="642">
        <f>G9+G10</f>
        <v>0</v>
      </c>
      <c r="H8" s="644">
        <f t="shared" si="1"/>
        <v>0</v>
      </c>
    </row>
    <row r="9" spans="1:8">
      <c r="A9" s="236">
        <v>3.1</v>
      </c>
      <c r="B9" s="230" t="s">
        <v>164</v>
      </c>
      <c r="C9" s="642">
        <v>1117703180.3099999</v>
      </c>
      <c r="D9" s="642">
        <v>8311853.9312000005</v>
      </c>
      <c r="E9" s="643">
        <f t="shared" si="0"/>
        <v>1126015034.2412</v>
      </c>
      <c r="F9" s="642"/>
      <c r="G9" s="642"/>
      <c r="H9" s="644">
        <f t="shared" si="1"/>
        <v>0</v>
      </c>
    </row>
    <row r="10" spans="1:8">
      <c r="A10" s="236">
        <v>3.2</v>
      </c>
      <c r="B10" s="230" t="s">
        <v>161</v>
      </c>
      <c r="C10" s="642">
        <v>0</v>
      </c>
      <c r="D10" s="642">
        <v>0</v>
      </c>
      <c r="E10" s="643">
        <f t="shared" si="0"/>
        <v>0</v>
      </c>
      <c r="F10" s="642"/>
      <c r="G10" s="642"/>
      <c r="H10" s="644">
        <f t="shared" si="1"/>
        <v>0</v>
      </c>
    </row>
    <row r="11" spans="1:8">
      <c r="A11" s="236">
        <v>4</v>
      </c>
      <c r="B11" s="231" t="s">
        <v>163</v>
      </c>
      <c r="C11" s="642">
        <f>C12+C13</f>
        <v>0</v>
      </c>
      <c r="D11" s="642">
        <f>D12+D13</f>
        <v>0</v>
      </c>
      <c r="E11" s="643">
        <f t="shared" si="0"/>
        <v>0</v>
      </c>
      <c r="F11" s="642">
        <f>F12+F13</f>
        <v>0</v>
      </c>
      <c r="G11" s="642">
        <f>G12+G13</f>
        <v>0</v>
      </c>
      <c r="H11" s="644">
        <f t="shared" si="1"/>
        <v>0</v>
      </c>
    </row>
    <row r="12" spans="1:8">
      <c r="A12" s="236">
        <v>4.0999999999999996</v>
      </c>
      <c r="B12" s="230" t="s">
        <v>678</v>
      </c>
      <c r="C12" s="642">
        <v>0</v>
      </c>
      <c r="D12" s="642">
        <v>0</v>
      </c>
      <c r="E12" s="643">
        <f t="shared" si="0"/>
        <v>0</v>
      </c>
      <c r="F12" s="642"/>
      <c r="G12" s="642"/>
      <c r="H12" s="644">
        <f t="shared" si="1"/>
        <v>0</v>
      </c>
    </row>
    <row r="13" spans="1:8">
      <c r="A13" s="236">
        <v>4.2</v>
      </c>
      <c r="B13" s="230" t="s">
        <v>679</v>
      </c>
      <c r="C13" s="642">
        <v>0</v>
      </c>
      <c r="D13" s="642">
        <v>0</v>
      </c>
      <c r="E13" s="643">
        <f t="shared" si="0"/>
        <v>0</v>
      </c>
      <c r="F13" s="642"/>
      <c r="G13" s="642"/>
      <c r="H13" s="644">
        <f t="shared" si="1"/>
        <v>0</v>
      </c>
    </row>
    <row r="14" spans="1:8">
      <c r="A14" s="236">
        <v>5</v>
      </c>
      <c r="B14" s="231" t="s">
        <v>172</v>
      </c>
      <c r="C14" s="642">
        <f>C15+C16+C17+C23+C24+C25+C26</f>
        <v>864893841.94999981</v>
      </c>
      <c r="D14" s="642">
        <f>D15+D16+D17+D23+D24+D25+D26</f>
        <v>65107086.125100002</v>
      </c>
      <c r="E14" s="643">
        <f t="shared" si="0"/>
        <v>930000928.07509983</v>
      </c>
      <c r="F14" s="642">
        <f>F15+F16+F17+F23+F24+F25+F26</f>
        <v>0</v>
      </c>
      <c r="G14" s="642">
        <f>G15+G16+G17+G23+G24+G25+G26</f>
        <v>0</v>
      </c>
      <c r="H14" s="644">
        <f t="shared" si="1"/>
        <v>0</v>
      </c>
    </row>
    <row r="15" spans="1:8">
      <c r="A15" s="236">
        <v>5.0999999999999996</v>
      </c>
      <c r="B15" s="232" t="s">
        <v>151</v>
      </c>
      <c r="C15" s="642">
        <v>0</v>
      </c>
      <c r="D15" s="642">
        <v>0</v>
      </c>
      <c r="E15" s="643">
        <f t="shared" si="0"/>
        <v>0</v>
      </c>
      <c r="F15" s="642"/>
      <c r="G15" s="642"/>
      <c r="H15" s="644">
        <f t="shared" si="1"/>
        <v>0</v>
      </c>
    </row>
    <row r="16" spans="1:8">
      <c r="A16" s="236">
        <v>5.2</v>
      </c>
      <c r="B16" s="232" t="s">
        <v>150</v>
      </c>
      <c r="C16" s="642">
        <v>21950503.09</v>
      </c>
      <c r="D16" s="642">
        <v>90472.673999999999</v>
      </c>
      <c r="E16" s="643">
        <f t="shared" si="0"/>
        <v>22040975.763999999</v>
      </c>
      <c r="F16" s="642"/>
      <c r="G16" s="642"/>
      <c r="H16" s="644">
        <f t="shared" si="1"/>
        <v>0</v>
      </c>
    </row>
    <row r="17" spans="1:8">
      <c r="A17" s="236">
        <v>5.3</v>
      </c>
      <c r="B17" s="232" t="s">
        <v>149</v>
      </c>
      <c r="C17" s="642">
        <f>C18+C19+C20+C21+C22</f>
        <v>695969682.42999971</v>
      </c>
      <c r="D17" s="642">
        <f>D18+D19+D20+D21+D22</f>
        <v>64083709.828199998</v>
      </c>
      <c r="E17" s="643">
        <f t="shared" si="0"/>
        <v>760053392.25819969</v>
      </c>
      <c r="F17" s="642"/>
      <c r="G17" s="642"/>
      <c r="H17" s="644">
        <f t="shared" si="1"/>
        <v>0</v>
      </c>
    </row>
    <row r="18" spans="1:8">
      <c r="A18" s="236" t="s">
        <v>16</v>
      </c>
      <c r="B18" s="233" t="s">
        <v>36</v>
      </c>
      <c r="C18" s="642">
        <v>695969682.42999971</v>
      </c>
      <c r="D18" s="642">
        <v>64083709.828199998</v>
      </c>
      <c r="E18" s="643">
        <f t="shared" si="0"/>
        <v>760053392.25819969</v>
      </c>
      <c r="F18" s="642"/>
      <c r="G18" s="642"/>
      <c r="H18" s="644">
        <f t="shared" si="1"/>
        <v>0</v>
      </c>
    </row>
    <row r="19" spans="1:8">
      <c r="A19" s="236" t="s">
        <v>17</v>
      </c>
      <c r="B19" s="233" t="s">
        <v>37</v>
      </c>
      <c r="C19" s="642">
        <v>0</v>
      </c>
      <c r="D19" s="642">
        <v>0</v>
      </c>
      <c r="E19" s="643">
        <f t="shared" si="0"/>
        <v>0</v>
      </c>
      <c r="F19" s="642"/>
      <c r="G19" s="642"/>
      <c r="H19" s="644">
        <f t="shared" si="1"/>
        <v>0</v>
      </c>
    </row>
    <row r="20" spans="1:8">
      <c r="A20" s="236" t="s">
        <v>18</v>
      </c>
      <c r="B20" s="233" t="s">
        <v>38</v>
      </c>
      <c r="C20" s="642">
        <v>0</v>
      </c>
      <c r="D20" s="642">
        <v>0</v>
      </c>
      <c r="E20" s="643">
        <f t="shared" si="0"/>
        <v>0</v>
      </c>
      <c r="F20" s="642"/>
      <c r="G20" s="642"/>
      <c r="H20" s="644">
        <f t="shared" si="1"/>
        <v>0</v>
      </c>
    </row>
    <row r="21" spans="1:8">
      <c r="A21" s="236" t="s">
        <v>19</v>
      </c>
      <c r="B21" s="233" t="s">
        <v>39</v>
      </c>
      <c r="C21" s="642">
        <v>0</v>
      </c>
      <c r="D21" s="642">
        <v>0</v>
      </c>
      <c r="E21" s="643">
        <f t="shared" si="0"/>
        <v>0</v>
      </c>
      <c r="F21" s="642"/>
      <c r="G21" s="642"/>
      <c r="H21" s="644">
        <f t="shared" si="1"/>
        <v>0</v>
      </c>
    </row>
    <row r="22" spans="1:8">
      <c r="A22" s="236" t="s">
        <v>20</v>
      </c>
      <c r="B22" s="233" t="s">
        <v>40</v>
      </c>
      <c r="C22" s="642">
        <v>0</v>
      </c>
      <c r="D22" s="642">
        <v>0</v>
      </c>
      <c r="E22" s="643">
        <f t="shared" si="0"/>
        <v>0</v>
      </c>
      <c r="F22" s="642"/>
      <c r="G22" s="642"/>
      <c r="H22" s="644">
        <f t="shared" si="1"/>
        <v>0</v>
      </c>
    </row>
    <row r="23" spans="1:8">
      <c r="A23" s="236">
        <v>5.4</v>
      </c>
      <c r="B23" s="232" t="s">
        <v>152</v>
      </c>
      <c r="C23" s="642">
        <v>146526597.23000002</v>
      </c>
      <c r="D23" s="642">
        <v>932903.62290000019</v>
      </c>
      <c r="E23" s="643">
        <f t="shared" si="0"/>
        <v>147459500.85290003</v>
      </c>
      <c r="F23" s="642"/>
      <c r="G23" s="642"/>
      <c r="H23" s="644">
        <f t="shared" si="1"/>
        <v>0</v>
      </c>
    </row>
    <row r="24" spans="1:8">
      <c r="A24" s="236">
        <v>5.5</v>
      </c>
      <c r="B24" s="232" t="s">
        <v>153</v>
      </c>
      <c r="C24" s="642">
        <v>0</v>
      </c>
      <c r="D24" s="642">
        <v>0</v>
      </c>
      <c r="E24" s="643">
        <f t="shared" si="0"/>
        <v>0</v>
      </c>
      <c r="F24" s="642"/>
      <c r="G24" s="642"/>
      <c r="H24" s="644">
        <f t="shared" si="1"/>
        <v>0</v>
      </c>
    </row>
    <row r="25" spans="1:8">
      <c r="A25" s="236">
        <v>5.6</v>
      </c>
      <c r="B25" s="232" t="s">
        <v>154</v>
      </c>
      <c r="C25" s="642">
        <v>0</v>
      </c>
      <c r="D25" s="642">
        <v>0</v>
      </c>
      <c r="E25" s="643">
        <f t="shared" si="0"/>
        <v>0</v>
      </c>
      <c r="F25" s="642"/>
      <c r="G25" s="642"/>
      <c r="H25" s="644">
        <f t="shared" si="1"/>
        <v>0</v>
      </c>
    </row>
    <row r="26" spans="1:8">
      <c r="A26" s="236">
        <v>5.7</v>
      </c>
      <c r="B26" s="232" t="s">
        <v>40</v>
      </c>
      <c r="C26" s="642">
        <v>447059.20000000001</v>
      </c>
      <c r="D26" s="642">
        <v>0</v>
      </c>
      <c r="E26" s="643">
        <f t="shared" si="0"/>
        <v>447059.20000000001</v>
      </c>
      <c r="F26" s="642"/>
      <c r="G26" s="642"/>
      <c r="H26" s="644">
        <f t="shared" si="1"/>
        <v>0</v>
      </c>
    </row>
    <row r="27" spans="1:8">
      <c r="A27" s="236">
        <v>6</v>
      </c>
      <c r="B27" s="249" t="s">
        <v>589</v>
      </c>
      <c r="C27" s="642">
        <v>2209944.0600000005</v>
      </c>
      <c r="D27" s="642">
        <v>44640.238600000004</v>
      </c>
      <c r="E27" s="643">
        <f t="shared" si="0"/>
        <v>2254584.2986000003</v>
      </c>
      <c r="F27" s="642"/>
      <c r="G27" s="642"/>
      <c r="H27" s="644">
        <f t="shared" si="1"/>
        <v>0</v>
      </c>
    </row>
    <row r="28" spans="1:8">
      <c r="A28" s="236">
        <v>7</v>
      </c>
      <c r="B28" s="249" t="s">
        <v>590</v>
      </c>
      <c r="C28" s="642">
        <v>0</v>
      </c>
      <c r="D28" s="642">
        <v>0</v>
      </c>
      <c r="E28" s="643">
        <f t="shared" si="0"/>
        <v>0</v>
      </c>
      <c r="F28" s="642"/>
      <c r="G28" s="642"/>
      <c r="H28" s="644">
        <f t="shared" si="1"/>
        <v>0</v>
      </c>
    </row>
    <row r="29" spans="1:8">
      <c r="A29" s="236">
        <v>8</v>
      </c>
      <c r="B29" s="249" t="s">
        <v>162</v>
      </c>
      <c r="C29" s="642">
        <v>0</v>
      </c>
      <c r="D29" s="642">
        <v>0</v>
      </c>
      <c r="E29" s="643">
        <f t="shared" si="0"/>
        <v>0</v>
      </c>
      <c r="F29" s="642"/>
      <c r="G29" s="642"/>
      <c r="H29" s="644">
        <f t="shared" si="1"/>
        <v>0</v>
      </c>
    </row>
    <row r="30" spans="1:8">
      <c r="A30" s="236">
        <v>9</v>
      </c>
      <c r="B30" s="250" t="s">
        <v>177</v>
      </c>
      <c r="C30" s="642">
        <f>C31+C32+C33+C34+C35+C36+C37</f>
        <v>-298372770.23999995</v>
      </c>
      <c r="D30" s="642">
        <f>D31+D32+D33+D34+D35+D36+D37</f>
        <v>277818935.42709982</v>
      </c>
      <c r="E30" s="643">
        <f t="shared" si="0"/>
        <v>-20553834.812900126</v>
      </c>
      <c r="F30" s="642">
        <f>F31+F32+F33+F34+F35+F36+F37</f>
        <v>0</v>
      </c>
      <c r="G30" s="642">
        <f>G31+G32+G33+G34+G35+G36+G37</f>
        <v>0</v>
      </c>
      <c r="H30" s="644">
        <f t="shared" si="1"/>
        <v>0</v>
      </c>
    </row>
    <row r="31" spans="1:8">
      <c r="A31" s="236">
        <v>9.1</v>
      </c>
      <c r="B31" s="234" t="s">
        <v>168</v>
      </c>
      <c r="C31" s="642">
        <v>10136617.859999999</v>
      </c>
      <c r="D31" s="642">
        <v>293599900.51989985</v>
      </c>
      <c r="E31" s="643">
        <f t="shared" si="0"/>
        <v>303736518.37989986</v>
      </c>
      <c r="F31" s="642"/>
      <c r="G31" s="642"/>
      <c r="H31" s="644">
        <f t="shared" si="1"/>
        <v>0</v>
      </c>
    </row>
    <row r="32" spans="1:8">
      <c r="A32" s="236">
        <v>9.1999999999999993</v>
      </c>
      <c r="B32" s="234" t="s">
        <v>169</v>
      </c>
      <c r="C32" s="642">
        <v>-308509388.09999996</v>
      </c>
      <c r="D32" s="642">
        <v>-15780965.092800001</v>
      </c>
      <c r="E32" s="643">
        <f t="shared" si="0"/>
        <v>-324290353.19279999</v>
      </c>
      <c r="F32" s="642"/>
      <c r="G32" s="642"/>
      <c r="H32" s="644">
        <f t="shared" si="1"/>
        <v>0</v>
      </c>
    </row>
    <row r="33" spans="1:8">
      <c r="A33" s="236">
        <v>9.3000000000000007</v>
      </c>
      <c r="B33" s="234" t="s">
        <v>165</v>
      </c>
      <c r="C33" s="642">
        <v>0</v>
      </c>
      <c r="D33" s="642">
        <v>0</v>
      </c>
      <c r="E33" s="643">
        <f t="shared" si="0"/>
        <v>0</v>
      </c>
      <c r="F33" s="642"/>
      <c r="G33" s="642"/>
      <c r="H33" s="644">
        <f t="shared" si="1"/>
        <v>0</v>
      </c>
    </row>
    <row r="34" spans="1:8">
      <c r="A34" s="236">
        <v>9.4</v>
      </c>
      <c r="B34" s="234" t="s">
        <v>166</v>
      </c>
      <c r="C34" s="642">
        <v>0</v>
      </c>
      <c r="D34" s="642">
        <v>0</v>
      </c>
      <c r="E34" s="643">
        <f t="shared" si="0"/>
        <v>0</v>
      </c>
      <c r="F34" s="642"/>
      <c r="G34" s="642"/>
      <c r="H34" s="644">
        <f t="shared" si="1"/>
        <v>0</v>
      </c>
    </row>
    <row r="35" spans="1:8">
      <c r="A35" s="236">
        <v>9.5</v>
      </c>
      <c r="B35" s="234" t="s">
        <v>167</v>
      </c>
      <c r="C35" s="642">
        <v>0</v>
      </c>
      <c r="D35" s="642">
        <v>0</v>
      </c>
      <c r="E35" s="643">
        <f t="shared" si="0"/>
        <v>0</v>
      </c>
      <c r="F35" s="642"/>
      <c r="G35" s="642"/>
      <c r="H35" s="644">
        <f t="shared" si="1"/>
        <v>0</v>
      </c>
    </row>
    <row r="36" spans="1:8">
      <c r="A36" s="236">
        <v>9.6</v>
      </c>
      <c r="B36" s="234" t="s">
        <v>170</v>
      </c>
      <c r="C36" s="642">
        <v>0</v>
      </c>
      <c r="D36" s="642">
        <v>0</v>
      </c>
      <c r="E36" s="643">
        <f t="shared" si="0"/>
        <v>0</v>
      </c>
      <c r="F36" s="642"/>
      <c r="G36" s="642"/>
      <c r="H36" s="644">
        <f t="shared" si="1"/>
        <v>0</v>
      </c>
    </row>
    <row r="37" spans="1:8">
      <c r="A37" s="236">
        <v>9.6999999999999993</v>
      </c>
      <c r="B37" s="234" t="s">
        <v>171</v>
      </c>
      <c r="C37" s="642">
        <v>0</v>
      </c>
      <c r="D37" s="642">
        <v>0</v>
      </c>
      <c r="E37" s="643">
        <f t="shared" si="0"/>
        <v>0</v>
      </c>
      <c r="F37" s="642"/>
      <c r="G37" s="642"/>
      <c r="H37" s="644">
        <f t="shared" si="1"/>
        <v>0</v>
      </c>
    </row>
    <row r="38" spans="1:8">
      <c r="A38" s="236">
        <v>10</v>
      </c>
      <c r="B38" s="231" t="s">
        <v>173</v>
      </c>
      <c r="C38" s="645">
        <f>C41+C42</f>
        <v>12464486.119999979</v>
      </c>
      <c r="D38" s="645">
        <f>D41+D42</f>
        <v>0</v>
      </c>
      <c r="E38" s="646">
        <f t="shared" si="0"/>
        <v>12464486.119999979</v>
      </c>
      <c r="F38" s="645">
        <f>F41+F42</f>
        <v>0</v>
      </c>
      <c r="G38" s="645">
        <f>G41+G42</f>
        <v>0</v>
      </c>
      <c r="H38" s="644">
        <f t="shared" si="1"/>
        <v>0</v>
      </c>
    </row>
    <row r="39" spans="1:8">
      <c r="A39" s="236">
        <v>10.1</v>
      </c>
      <c r="B39" s="234" t="s">
        <v>174</v>
      </c>
      <c r="C39" s="642">
        <v>2697677.220000003</v>
      </c>
      <c r="D39" s="642">
        <v>0</v>
      </c>
      <c r="E39" s="643">
        <f t="shared" si="0"/>
        <v>2697677.220000003</v>
      </c>
      <c r="F39" s="642"/>
      <c r="G39" s="642"/>
      <c r="H39" s="644">
        <f t="shared" si="1"/>
        <v>0</v>
      </c>
    </row>
    <row r="40" spans="1:8">
      <c r="A40" s="236">
        <v>10.199999999999999</v>
      </c>
      <c r="B40" s="234" t="s">
        <v>175</v>
      </c>
      <c r="C40" s="642">
        <v>1005606.1199999996</v>
      </c>
      <c r="D40" s="642">
        <v>0</v>
      </c>
      <c r="E40" s="643">
        <f t="shared" si="0"/>
        <v>1005606.1199999996</v>
      </c>
      <c r="F40" s="642"/>
      <c r="G40" s="642"/>
      <c r="H40" s="644">
        <f t="shared" si="1"/>
        <v>0</v>
      </c>
    </row>
    <row r="41" spans="1:8">
      <c r="A41" s="236">
        <v>10.3</v>
      </c>
      <c r="B41" s="234" t="s">
        <v>178</v>
      </c>
      <c r="C41" s="642">
        <v>9128570.7399999816</v>
      </c>
      <c r="D41" s="642">
        <v>0</v>
      </c>
      <c r="E41" s="643">
        <f t="shared" si="0"/>
        <v>9128570.7399999816</v>
      </c>
      <c r="F41" s="642"/>
      <c r="G41" s="642"/>
      <c r="H41" s="644">
        <f t="shared" si="1"/>
        <v>0</v>
      </c>
    </row>
    <row r="42" spans="1:8" ht="26.4">
      <c r="A42" s="236">
        <v>10.4</v>
      </c>
      <c r="B42" s="234" t="s">
        <v>179</v>
      </c>
      <c r="C42" s="642">
        <v>3335915.379999998</v>
      </c>
      <c r="D42" s="642">
        <v>0</v>
      </c>
      <c r="E42" s="643">
        <f t="shared" si="0"/>
        <v>3335915.379999998</v>
      </c>
      <c r="F42" s="642"/>
      <c r="G42" s="642"/>
      <c r="H42" s="644">
        <f t="shared" si="1"/>
        <v>0</v>
      </c>
    </row>
    <row r="43" spans="1:8" ht="14.4" thickBot="1">
      <c r="A43" s="236">
        <v>11</v>
      </c>
      <c r="B43" s="90" t="s">
        <v>176</v>
      </c>
      <c r="C43" s="642">
        <v>0</v>
      </c>
      <c r="D43" s="642">
        <v>0</v>
      </c>
      <c r="E43" s="643">
        <f t="shared" si="0"/>
        <v>0</v>
      </c>
      <c r="F43" s="642"/>
      <c r="G43" s="642"/>
      <c r="H43" s="644">
        <f t="shared" si="1"/>
        <v>0</v>
      </c>
    </row>
    <row r="44" spans="1:8">
      <c r="C44" s="235"/>
      <c r="D44" s="235"/>
      <c r="E44" s="235"/>
      <c r="F44" s="235"/>
      <c r="G44" s="235"/>
      <c r="H44" s="235"/>
    </row>
    <row r="45" spans="1:8">
      <c r="C45" s="235"/>
      <c r="D45" s="235"/>
      <c r="E45" s="235"/>
      <c r="F45" s="235"/>
      <c r="G45" s="235"/>
      <c r="H45" s="235"/>
    </row>
    <row r="46" spans="1:8">
      <c r="C46" s="235"/>
      <c r="D46" s="235"/>
      <c r="E46" s="235"/>
      <c r="F46" s="235"/>
      <c r="G46" s="235"/>
      <c r="H46" s="235"/>
    </row>
    <row r="47" spans="1:8">
      <c r="C47" s="235"/>
      <c r="D47" s="235"/>
      <c r="E47" s="235"/>
      <c r="F47" s="235"/>
      <c r="G47" s="235"/>
      <c r="H47" s="23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pane="topRight"/>
      <selection pane="bottomLeft"/>
      <selection pane="bottomRight" activeCell="B5" sqref="B5"/>
    </sheetView>
  </sheetViews>
  <sheetFormatPr defaultColWidth="9.21875" defaultRowHeight="13.2"/>
  <cols>
    <col min="1" max="1" width="11.44140625" style="4" bestFit="1" customWidth="1"/>
    <col min="2" max="2" width="93.5546875" style="4" customWidth="1"/>
    <col min="3" max="4" width="10.77734375" style="4" customWidth="1"/>
    <col min="5" max="11" width="9.77734375" style="23" customWidth="1"/>
    <col min="12" max="16384" width="9.21875" style="23"/>
  </cols>
  <sheetData>
    <row r="1" spans="1:7" ht="13.8">
      <c r="A1" s="554" t="s">
        <v>680</v>
      </c>
      <c r="B1" s="552" t="str">
        <f>'Info '!C2</f>
        <v>Crystal</v>
      </c>
      <c r="C1" s="3"/>
    </row>
    <row r="2" spans="1:7">
      <c r="A2" s="64" t="s">
        <v>31</v>
      </c>
      <c r="B2" s="553">
        <f>'1. key ratios '!B2</f>
        <v>45930</v>
      </c>
      <c r="C2" s="3"/>
    </row>
    <row r="3" spans="1:7">
      <c r="A3" s="2"/>
      <c r="B3" s="3"/>
      <c r="C3" s="3"/>
    </row>
    <row r="4" spans="1:7" ht="15" customHeight="1" thickBot="1">
      <c r="A4" s="4" t="s">
        <v>89</v>
      </c>
      <c r="B4" s="74" t="s">
        <v>155</v>
      </c>
      <c r="C4" s="25" t="s">
        <v>35</v>
      </c>
    </row>
    <row r="5" spans="1:7" ht="15" customHeight="1">
      <c r="A5" s="107" t="s">
        <v>7</v>
      </c>
      <c r="B5" s="108"/>
      <c r="C5" s="212" t="str">
        <f>INT((MONTH($B$2))/3)&amp;"Q"&amp;"-"&amp;YEAR($B$2)</f>
        <v>3Q-2025</v>
      </c>
      <c r="D5" s="212" t="str">
        <f>IF(INT(MONTH($B$2))=3, "4"&amp;"Q"&amp;"-"&amp;YEAR($B$2)-1, IF(INT(MONTH($B$2))=6, "1"&amp;"Q"&amp;"-"&amp;YEAR($B$2), IF(INT(MONTH($B$2))=9, "2"&amp;"Q"&amp;"-"&amp;YEAR($B$2),IF(INT(MONTH($B$2))=12, "3"&amp;"Q"&amp;"-"&amp;YEAR($B$2), 0))))</f>
        <v>2Q-2025</v>
      </c>
      <c r="E5" s="212" t="str">
        <f>IF(INT(MONTH($B$2))=3, "3"&amp;"Q"&amp;"-"&amp;YEAR($B$2)-1, IF(INT(MONTH($B$2))=6, "4"&amp;"Q"&amp;"-"&amp;YEAR($B$2)-1, IF(INT(MONTH($B$2))=9, "1"&amp;"Q"&amp;"-"&amp;YEAR($B$2),IF(INT(MONTH($B$2))=12, "2"&amp;"Q"&amp;"-"&amp;YEAR($B$2), 0))))</f>
        <v>1Q-2025</v>
      </c>
      <c r="F5" s="212" t="str">
        <f>IF(INT(MONTH($B$2))=3, "2"&amp;"Q"&amp;"-"&amp;YEAR($B$2)-1, IF(INT(MONTH($B$2))=6, "3"&amp;"Q"&amp;"-"&amp;YEAR($B$2)-1, IF(INT(MONTH($B$2))=9, "4"&amp;"Q"&amp;"-"&amp;YEAR($B$2)-1,IF(INT(MONTH($B$2))=12, "1"&amp;"Q"&amp;"-"&amp;YEAR($B$2), 0))))</f>
        <v>4Q-2024</v>
      </c>
      <c r="G5" s="213" t="str">
        <f>IF(INT(MONTH($B$2))=3, "1"&amp;"Q"&amp;"-"&amp;YEAR($B$2)-1, IF(INT(MONTH($B$2))=6, "2"&amp;"Q"&amp;"-"&amp;YEAR($B$2)-1, IF(INT(MONTH($B$2))=9, "3"&amp;"Q"&amp;"-"&amp;YEAR($B$2)-1,IF(INT(MONTH($B$2))=12, "4"&amp;"Q"&amp;"-"&amp;YEAR($B$2)-1, 0))))</f>
        <v>3Q-2024</v>
      </c>
    </row>
    <row r="6" spans="1:7" ht="15" customHeight="1">
      <c r="A6" s="26">
        <v>1</v>
      </c>
      <c r="B6" s="181" t="s">
        <v>159</v>
      </c>
      <c r="C6" s="387">
        <f>C7+C9+C10</f>
        <v>468606209.03590357</v>
      </c>
      <c r="D6" s="634">
        <f>D7+D9+D10</f>
        <v>470563128.5438292</v>
      </c>
      <c r="E6" s="635">
        <f t="shared" ref="E6:G6" si="0">E7+E9+E10</f>
        <v>0</v>
      </c>
      <c r="F6" s="387">
        <f t="shared" si="0"/>
        <v>0</v>
      </c>
      <c r="G6" s="636">
        <f t="shared" si="0"/>
        <v>0</v>
      </c>
    </row>
    <row r="7" spans="1:7" ht="15" customHeight="1">
      <c r="A7" s="26">
        <v>1.1000000000000001</v>
      </c>
      <c r="B7" s="181" t="s">
        <v>667</v>
      </c>
      <c r="C7" s="388">
        <v>460539016.09141302</v>
      </c>
      <c r="D7" s="637">
        <v>461008125.31766635</v>
      </c>
      <c r="E7" s="388"/>
      <c r="F7" s="388"/>
      <c r="G7" s="638"/>
    </row>
    <row r="8" spans="1:7">
      <c r="A8" s="26" t="s">
        <v>15</v>
      </c>
      <c r="B8" s="181" t="s">
        <v>88</v>
      </c>
      <c r="C8" s="388">
        <v>1366379.85</v>
      </c>
      <c r="D8" s="637">
        <v>1366379.85</v>
      </c>
      <c r="E8" s="388"/>
      <c r="F8" s="388"/>
      <c r="G8" s="638"/>
    </row>
    <row r="9" spans="1:7" ht="15" customHeight="1">
      <c r="A9" s="26">
        <v>1.2</v>
      </c>
      <c r="B9" s="182" t="s">
        <v>87</v>
      </c>
      <c r="C9" s="388">
        <v>589012.95668999979</v>
      </c>
      <c r="D9" s="637">
        <v>581639.28435999993</v>
      </c>
      <c r="E9" s="388"/>
      <c r="F9" s="388"/>
      <c r="G9" s="638"/>
    </row>
    <row r="10" spans="1:7" ht="15" customHeight="1">
      <c r="A10" s="26">
        <v>1.3</v>
      </c>
      <c r="B10" s="181" t="s">
        <v>29</v>
      </c>
      <c r="C10" s="388">
        <v>7478179.9878005143</v>
      </c>
      <c r="D10" s="637">
        <v>8973363.9418028705</v>
      </c>
      <c r="E10" s="388"/>
      <c r="F10" s="388"/>
      <c r="G10" s="638"/>
    </row>
    <row r="11" spans="1:7" ht="15" customHeight="1">
      <c r="A11" s="26">
        <v>2</v>
      </c>
      <c r="B11" s="181" t="s">
        <v>156</v>
      </c>
      <c r="C11" s="388">
        <v>2753339.4471601588</v>
      </c>
      <c r="D11" s="637">
        <v>4930303.1623219214</v>
      </c>
      <c r="E11" s="388"/>
      <c r="F11" s="388"/>
      <c r="G11" s="638"/>
    </row>
    <row r="12" spans="1:7" ht="15" customHeight="1">
      <c r="A12" s="26">
        <v>3</v>
      </c>
      <c r="B12" s="181" t="s">
        <v>157</v>
      </c>
      <c r="C12" s="388">
        <v>151556553.58750001</v>
      </c>
      <c r="D12" s="637">
        <v>151556553.58750001</v>
      </c>
      <c r="E12" s="388"/>
      <c r="F12" s="388"/>
      <c r="G12" s="638"/>
    </row>
    <row r="13" spans="1:7" ht="15" customHeight="1" thickBot="1">
      <c r="A13" s="28">
        <v>4</v>
      </c>
      <c r="B13" s="29" t="s">
        <v>158</v>
      </c>
      <c r="C13" s="389">
        <f>C6+C11+C12</f>
        <v>622916102.07056379</v>
      </c>
      <c r="D13" s="639">
        <f>D6+D11+D12</f>
        <v>627049985.2936511</v>
      </c>
      <c r="E13" s="640">
        <f t="shared" ref="E13:G13" si="1">E6+E11+E12</f>
        <v>0</v>
      </c>
      <c r="F13" s="389">
        <f t="shared" si="1"/>
        <v>0</v>
      </c>
      <c r="G13" s="641">
        <f t="shared" si="1"/>
        <v>0</v>
      </c>
    </row>
    <row r="14" spans="1:7">
      <c r="B14" s="32"/>
    </row>
    <row r="15" spans="1:7">
      <c r="B15" s="32"/>
    </row>
    <row r="16" spans="1:7">
      <c r="B16" s="32"/>
    </row>
    <row r="17" s="23" customFormat="1" ht="10.199999999999999"/>
    <row r="18" s="23" customFormat="1" ht="10.199999999999999"/>
    <row r="19" s="23" customFormat="1" ht="10.199999999999999"/>
    <row r="20" s="23" customFormat="1" ht="10.199999999999999"/>
    <row r="21" s="23" customFormat="1" ht="10.199999999999999"/>
    <row r="22" s="23" customFormat="1" ht="10.199999999999999"/>
    <row r="23" s="23" customFormat="1" ht="10.199999999999999"/>
    <row r="24" s="23" customFormat="1" ht="10.199999999999999"/>
    <row r="25" s="23" customFormat="1" ht="10.199999999999999"/>
    <row r="26" s="23" customFormat="1" ht="10.199999999999999"/>
    <row r="27" s="23" customFormat="1" ht="10.199999999999999"/>
    <row r="28" s="23" customFormat="1" ht="10.199999999999999"/>
    <row r="29" s="23"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62"/>
  <sheetViews>
    <sheetView zoomScale="70" zoomScaleNormal="70" workbookViewId="0">
      <pane xSplit="1" ySplit="4" topLeftCell="B5" activePane="bottomRight" state="frozen"/>
      <selection pane="topRight"/>
      <selection pane="bottomLeft"/>
      <selection pane="bottomRight" activeCell="B5" sqref="B5"/>
    </sheetView>
  </sheetViews>
  <sheetFormatPr defaultColWidth="9.21875" defaultRowHeight="13.2"/>
  <cols>
    <col min="1" max="1" width="11.109375" style="41" bestFit="1" customWidth="1"/>
    <col min="2" max="2" width="65.5546875" style="41" customWidth="1"/>
    <col min="3" max="3" width="27.5546875" style="41" customWidth="1"/>
    <col min="4" max="16384" width="9.21875" style="41"/>
  </cols>
  <sheetData>
    <row r="1" spans="1:8">
      <c r="A1" s="557" t="s">
        <v>680</v>
      </c>
      <c r="B1" s="558" t="str">
        <f>'Info '!C2</f>
        <v>Crystal</v>
      </c>
    </row>
    <row r="2" spans="1:8">
      <c r="A2" s="557" t="s">
        <v>31</v>
      </c>
      <c r="B2" s="559">
        <f>'1. key ratios '!B2</f>
        <v>45930</v>
      </c>
    </row>
    <row r="4" spans="1:8" ht="28.05" customHeight="1" thickBot="1">
      <c r="A4" s="522" t="s">
        <v>41</v>
      </c>
      <c r="B4" s="33" t="s">
        <v>137</v>
      </c>
      <c r="C4" s="523"/>
    </row>
    <row r="5" spans="1:8">
      <c r="A5" s="524"/>
      <c r="B5" s="209" t="s">
        <v>42</v>
      </c>
      <c r="C5" s="210" t="s">
        <v>304</v>
      </c>
    </row>
    <row r="6" spans="1:8">
      <c r="A6" s="34">
        <v>1</v>
      </c>
      <c r="B6" s="525" t="s">
        <v>699</v>
      </c>
      <c r="C6" s="526" t="s">
        <v>721</v>
      </c>
    </row>
    <row r="7" spans="1:8">
      <c r="A7" s="34">
        <v>2</v>
      </c>
      <c r="B7" s="525" t="s">
        <v>728</v>
      </c>
      <c r="C7" s="526" t="s">
        <v>722</v>
      </c>
    </row>
    <row r="8" spans="1:8">
      <c r="A8" s="34">
        <v>3</v>
      </c>
      <c r="B8" s="525" t="s">
        <v>730</v>
      </c>
      <c r="C8" s="526" t="s">
        <v>722</v>
      </c>
    </row>
    <row r="9" spans="1:8">
      <c r="A9" s="34">
        <v>4</v>
      </c>
      <c r="B9" s="525" t="s">
        <v>732</v>
      </c>
      <c r="C9" s="526" t="s">
        <v>722</v>
      </c>
    </row>
    <row r="10" spans="1:8">
      <c r="A10" s="34">
        <v>5</v>
      </c>
      <c r="B10" s="525" t="s">
        <v>731</v>
      </c>
      <c r="C10" s="526" t="s">
        <v>723</v>
      </c>
    </row>
    <row r="11" spans="1:8">
      <c r="A11" s="34">
        <v>6</v>
      </c>
      <c r="B11" s="525" t="s">
        <v>729</v>
      </c>
      <c r="C11" s="526" t="s">
        <v>722</v>
      </c>
    </row>
    <row r="12" spans="1:8">
      <c r="A12" s="34">
        <v>7</v>
      </c>
      <c r="B12" s="525"/>
      <c r="C12" s="526"/>
      <c r="H12" s="31"/>
    </row>
    <row r="13" spans="1:8">
      <c r="A13" s="34">
        <v>8</v>
      </c>
      <c r="B13" s="525"/>
      <c r="C13" s="526"/>
    </row>
    <row r="14" spans="1:8">
      <c r="A14" s="34">
        <v>9</v>
      </c>
      <c r="B14" s="525"/>
      <c r="C14" s="526"/>
    </row>
    <row r="15" spans="1:8">
      <c r="A15" s="34">
        <v>10</v>
      </c>
      <c r="B15" s="525"/>
      <c r="C15" s="526"/>
    </row>
    <row r="16" spans="1:8">
      <c r="A16" s="34"/>
      <c r="B16" s="13"/>
      <c r="C16" s="527"/>
    </row>
    <row r="17" spans="1:3" ht="26.4">
      <c r="A17" s="34"/>
      <c r="B17" s="96" t="s">
        <v>43</v>
      </c>
      <c r="C17" s="211" t="s">
        <v>305</v>
      </c>
    </row>
    <row r="18" spans="1:3">
      <c r="A18" s="34">
        <v>1</v>
      </c>
      <c r="B18" s="525" t="s">
        <v>700</v>
      </c>
      <c r="C18" s="528" t="s">
        <v>724</v>
      </c>
    </row>
    <row r="19" spans="1:3">
      <c r="A19" s="34">
        <v>2</v>
      </c>
      <c r="B19" s="525" t="s">
        <v>734</v>
      </c>
      <c r="C19" s="528" t="s">
        <v>739</v>
      </c>
    </row>
    <row r="20" spans="1:3">
      <c r="A20" s="34">
        <v>3</v>
      </c>
      <c r="B20" s="525" t="s">
        <v>735</v>
      </c>
      <c r="C20" s="528" t="s">
        <v>725</v>
      </c>
    </row>
    <row r="21" spans="1:3">
      <c r="A21" s="34">
        <v>4</v>
      </c>
      <c r="B21" s="525" t="s">
        <v>737</v>
      </c>
      <c r="C21" s="528" t="s">
        <v>726</v>
      </c>
    </row>
    <row r="22" spans="1:3">
      <c r="A22" s="34">
        <v>5</v>
      </c>
      <c r="B22" s="525" t="s">
        <v>736</v>
      </c>
      <c r="C22" s="528" t="s">
        <v>740</v>
      </c>
    </row>
    <row r="23" spans="1:3">
      <c r="A23" s="34">
        <v>6</v>
      </c>
      <c r="B23" s="525" t="s">
        <v>733</v>
      </c>
      <c r="C23" s="528" t="s">
        <v>727</v>
      </c>
    </row>
    <row r="24" spans="1:3">
      <c r="A24" s="34">
        <v>7</v>
      </c>
      <c r="B24" s="525"/>
      <c r="C24" s="528"/>
    </row>
    <row r="25" spans="1:3">
      <c r="A25" s="34">
        <v>8</v>
      </c>
      <c r="B25" s="525"/>
      <c r="C25" s="528"/>
    </row>
    <row r="26" spans="1:3">
      <c r="A26" s="34">
        <v>9</v>
      </c>
      <c r="B26" s="525"/>
      <c r="C26" s="528"/>
    </row>
    <row r="27" spans="1:3" ht="15.75" customHeight="1">
      <c r="A27" s="34">
        <v>10</v>
      </c>
      <c r="B27" s="525"/>
      <c r="C27" s="529"/>
    </row>
    <row r="28" spans="1:3" ht="15.75" customHeight="1">
      <c r="A28" s="34"/>
      <c r="B28" s="525"/>
      <c r="C28" s="529"/>
    </row>
    <row r="29" spans="1:3" ht="30" customHeight="1">
      <c r="A29" s="34"/>
      <c r="B29" s="704" t="s">
        <v>44</v>
      </c>
      <c r="C29" s="705"/>
    </row>
    <row r="30" spans="1:3">
      <c r="A30" s="34">
        <v>1</v>
      </c>
      <c r="B30" s="525" t="s">
        <v>747</v>
      </c>
      <c r="C30" s="668">
        <v>0.40029999999999999</v>
      </c>
    </row>
    <row r="31" spans="1:3">
      <c r="A31" s="34">
        <v>2</v>
      </c>
      <c r="B31" s="525" t="s">
        <v>748</v>
      </c>
      <c r="C31" s="668">
        <v>0.188</v>
      </c>
    </row>
    <row r="32" spans="1:3">
      <c r="A32" s="34">
        <v>3</v>
      </c>
      <c r="B32" s="525" t="s">
        <v>699</v>
      </c>
      <c r="C32" s="668">
        <v>0.1202</v>
      </c>
    </row>
    <row r="33" spans="1:3">
      <c r="A33" s="34">
        <v>4</v>
      </c>
      <c r="B33" s="525" t="s">
        <v>738</v>
      </c>
      <c r="C33" s="668">
        <v>9.3100000000000002E-2</v>
      </c>
    </row>
    <row r="34" spans="1:3">
      <c r="A34" s="34">
        <v>5</v>
      </c>
      <c r="B34" s="525" t="s">
        <v>749</v>
      </c>
      <c r="C34" s="668">
        <v>5.7299999999999997E-2</v>
      </c>
    </row>
    <row r="35" spans="1:3">
      <c r="A35" s="34">
        <v>6</v>
      </c>
      <c r="B35" s="525" t="s">
        <v>750</v>
      </c>
      <c r="C35" s="668">
        <v>3.0800000000000001E-2</v>
      </c>
    </row>
    <row r="36" spans="1:3">
      <c r="A36" s="34">
        <v>7</v>
      </c>
      <c r="B36" s="525" t="s">
        <v>751</v>
      </c>
      <c r="C36" s="668">
        <v>2.63E-2</v>
      </c>
    </row>
    <row r="37" spans="1:3">
      <c r="A37" s="34">
        <v>8</v>
      </c>
      <c r="B37" s="525" t="s">
        <v>752</v>
      </c>
      <c r="C37" s="668">
        <v>1.6500000000000001E-2</v>
      </c>
    </row>
    <row r="38" spans="1:3">
      <c r="A38" s="34">
        <v>9</v>
      </c>
      <c r="B38" s="525" t="s">
        <v>753</v>
      </c>
      <c r="C38" s="668">
        <v>1.2699999999999999E-2</v>
      </c>
    </row>
    <row r="39" spans="1:3">
      <c r="A39" s="34">
        <v>10</v>
      </c>
      <c r="B39" s="525"/>
      <c r="C39" s="530"/>
    </row>
    <row r="40" spans="1:3" ht="15.75" customHeight="1">
      <c r="A40" s="34"/>
      <c r="B40" s="525"/>
      <c r="C40" s="526"/>
    </row>
    <row r="41" spans="1:3" ht="29.25" customHeight="1">
      <c r="A41" s="34"/>
      <c r="B41" s="704" t="s">
        <v>675</v>
      </c>
      <c r="C41" s="705"/>
    </row>
    <row r="42" spans="1:3">
      <c r="A42" s="34">
        <v>1</v>
      </c>
      <c r="B42" s="525" t="s">
        <v>699</v>
      </c>
      <c r="C42" s="530">
        <v>0.121</v>
      </c>
    </row>
    <row r="43" spans="1:3">
      <c r="A43" s="34">
        <v>2</v>
      </c>
      <c r="B43" s="525" t="s">
        <v>738</v>
      </c>
      <c r="C43" s="530">
        <v>9.3100000000000002E-2</v>
      </c>
    </row>
    <row r="44" spans="1:3">
      <c r="A44" s="34">
        <v>3</v>
      </c>
      <c r="B44" s="525" t="s">
        <v>734</v>
      </c>
      <c r="C44" s="530">
        <v>5.7299999999999997E-2</v>
      </c>
    </row>
    <row r="45" spans="1:3">
      <c r="A45" s="34">
        <v>4</v>
      </c>
      <c r="B45" s="525" t="s">
        <v>705</v>
      </c>
      <c r="C45" s="530">
        <v>0.40029999999999999</v>
      </c>
    </row>
    <row r="46" spans="1:3">
      <c r="A46" s="34">
        <v>5</v>
      </c>
      <c r="B46" s="525" t="s">
        <v>706</v>
      </c>
      <c r="C46" s="530">
        <v>0.188</v>
      </c>
    </row>
    <row r="47" spans="1:3">
      <c r="A47" s="34">
        <v>6</v>
      </c>
      <c r="B47" s="525" t="s">
        <v>707</v>
      </c>
      <c r="C47" s="530">
        <v>0.1759</v>
      </c>
    </row>
    <row r="48" spans="1:3">
      <c r="A48" s="34">
        <v>7</v>
      </c>
      <c r="B48" s="525" t="s">
        <v>708</v>
      </c>
      <c r="C48" s="530">
        <v>0.1759</v>
      </c>
    </row>
    <row r="49" spans="1:3">
      <c r="A49" s="34">
        <v>8</v>
      </c>
      <c r="B49" s="525" t="s">
        <v>709</v>
      </c>
      <c r="C49" s="530">
        <v>0.188</v>
      </c>
    </row>
    <row r="50" spans="1:3">
      <c r="A50" s="34">
        <v>9</v>
      </c>
      <c r="B50" s="525" t="s">
        <v>710</v>
      </c>
      <c r="C50" s="530">
        <v>0.14899999999999999</v>
      </c>
    </row>
    <row r="51" spans="1:3" ht="26.4">
      <c r="A51" s="34">
        <v>10</v>
      </c>
      <c r="B51" s="525" t="s">
        <v>711</v>
      </c>
      <c r="C51" s="530">
        <v>5.2299999999999999E-2</v>
      </c>
    </row>
    <row r="52" spans="1:3">
      <c r="A52" s="34">
        <v>11</v>
      </c>
      <c r="B52" s="525" t="s">
        <v>712</v>
      </c>
      <c r="C52" s="530">
        <v>6.54E-2</v>
      </c>
    </row>
    <row r="53" spans="1:3" ht="26.4">
      <c r="A53" s="34">
        <v>12</v>
      </c>
      <c r="B53" s="525" t="s">
        <v>713</v>
      </c>
      <c r="C53" s="530">
        <v>6.2700000000000006E-2</v>
      </c>
    </row>
    <row r="54" spans="1:3">
      <c r="A54" s="34">
        <v>13</v>
      </c>
      <c r="B54" s="525" t="s">
        <v>714</v>
      </c>
      <c r="C54" s="530">
        <v>5.3400000000000003E-2</v>
      </c>
    </row>
    <row r="55" spans="1:3">
      <c r="A55" s="34">
        <v>14</v>
      </c>
      <c r="B55" s="525" t="s">
        <v>715</v>
      </c>
      <c r="C55" s="530">
        <v>6.54E-2</v>
      </c>
    </row>
    <row r="56" spans="1:3">
      <c r="A56" s="34">
        <v>15</v>
      </c>
      <c r="B56" s="525" t="s">
        <v>716</v>
      </c>
      <c r="C56" s="530">
        <v>6.54E-2</v>
      </c>
    </row>
    <row r="57" spans="1:3">
      <c r="A57" s="34">
        <v>16</v>
      </c>
      <c r="B57" s="525" t="s">
        <v>717</v>
      </c>
      <c r="C57" s="530">
        <v>6.54E-2</v>
      </c>
    </row>
    <row r="58" spans="1:3">
      <c r="A58" s="34">
        <v>17</v>
      </c>
      <c r="B58" s="525" t="s">
        <v>718</v>
      </c>
      <c r="C58" s="530">
        <v>6.54E-2</v>
      </c>
    </row>
    <row r="59" spans="1:3">
      <c r="A59" s="34">
        <v>18</v>
      </c>
      <c r="B59" s="525" t="s">
        <v>719</v>
      </c>
      <c r="C59" s="530">
        <v>6.54E-2</v>
      </c>
    </row>
    <row r="60" spans="1:3">
      <c r="A60" s="665">
        <v>19</v>
      </c>
      <c r="B60" s="666" t="s">
        <v>720</v>
      </c>
      <c r="C60" s="667">
        <v>9.4E-2</v>
      </c>
    </row>
    <row r="61" spans="1:3">
      <c r="A61" s="34">
        <v>20</v>
      </c>
      <c r="B61" s="525"/>
      <c r="C61" s="530"/>
    </row>
    <row r="62" spans="1:3" ht="13.8" thickBot="1">
      <c r="A62" s="531"/>
      <c r="B62" s="532"/>
      <c r="C62" s="533"/>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71" zoomScaleNormal="80" workbookViewId="0">
      <pane xSplit="2" ySplit="7" topLeftCell="C8" activePane="bottomRight" state="frozen"/>
      <selection pane="topRight" activeCell="C1" sqref="C1"/>
      <selection pane="bottomLeft" activeCell="A8" sqref="A8"/>
      <selection pane="bottomRight" activeCell="C8" sqref="C8"/>
    </sheetView>
  </sheetViews>
  <sheetFormatPr defaultColWidth="9.21875" defaultRowHeight="13.8"/>
  <cols>
    <col min="1" max="1" width="10.88671875" style="4"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562" t="s">
        <v>680</v>
      </c>
      <c r="B1" s="552" t="str">
        <f>'Info '!C2</f>
        <v>Crystal</v>
      </c>
    </row>
    <row r="2" spans="1:5" s="2" customFormat="1" ht="15.75" customHeight="1">
      <c r="A2" s="561" t="s">
        <v>31</v>
      </c>
      <c r="B2" s="553">
        <f>'1. key ratios '!B2</f>
        <v>45930</v>
      </c>
    </row>
    <row r="3" spans="1:5" s="2" customFormat="1" ht="15.75" customHeight="1">
      <c r="A3" s="31"/>
    </row>
    <row r="4" spans="1:5" s="2" customFormat="1" ht="15.75" customHeight="1" thickBot="1">
      <c r="A4" s="138" t="s">
        <v>92</v>
      </c>
      <c r="B4" s="710" t="s">
        <v>188</v>
      </c>
      <c r="C4" s="711"/>
      <c r="D4" s="711"/>
      <c r="E4" s="711"/>
    </row>
    <row r="5" spans="1:5" s="39" customFormat="1" ht="17.55" customHeight="1">
      <c r="A5" s="99"/>
      <c r="B5" s="100"/>
      <c r="C5" s="37" t="s">
        <v>0</v>
      </c>
      <c r="D5" s="37" t="s">
        <v>1</v>
      </c>
      <c r="E5" s="38" t="s">
        <v>2</v>
      </c>
    </row>
    <row r="6" spans="1:5" ht="14.55" customHeight="1">
      <c r="A6" s="85"/>
      <c r="B6" s="706" t="s">
        <v>195</v>
      </c>
      <c r="C6" s="706" t="s">
        <v>591</v>
      </c>
      <c r="D6" s="708" t="s">
        <v>91</v>
      </c>
      <c r="E6" s="709"/>
    </row>
    <row r="7" spans="1:5" ht="99.6" customHeight="1">
      <c r="A7" s="85"/>
      <c r="B7" s="707"/>
      <c r="C7" s="706"/>
      <c r="D7" s="167" t="s">
        <v>90</v>
      </c>
      <c r="E7" s="168" t="s">
        <v>196</v>
      </c>
    </row>
    <row r="8" spans="1:5" ht="20.399999999999999">
      <c r="A8" s="629">
        <v>1</v>
      </c>
      <c r="B8" s="534" t="s">
        <v>492</v>
      </c>
      <c r="C8" s="630">
        <f>SUM(C9:C11)</f>
        <v>65476176.312899999</v>
      </c>
      <c r="D8" s="630">
        <f t="shared" ref="D8:E8" si="0">SUM(D9:D11)</f>
        <v>0</v>
      </c>
      <c r="E8" s="630">
        <f t="shared" si="0"/>
        <v>65476176.312899999</v>
      </c>
    </row>
    <row r="9" spans="1:5" ht="14.4">
      <c r="A9" s="629">
        <v>1.1000000000000001</v>
      </c>
      <c r="B9" s="535" t="s">
        <v>493</v>
      </c>
      <c r="C9" s="630">
        <v>30039314.6237</v>
      </c>
      <c r="D9" s="630"/>
      <c r="E9" s="630">
        <f>C9-D9</f>
        <v>30039314.6237</v>
      </c>
    </row>
    <row r="10" spans="1:5" ht="14.4">
      <c r="A10" s="629">
        <v>1.2</v>
      </c>
      <c r="B10" s="535" t="s">
        <v>494</v>
      </c>
      <c r="C10" s="630">
        <v>28174408.510000002</v>
      </c>
      <c r="D10" s="630"/>
      <c r="E10" s="630">
        <f t="shared" ref="E10:E15" si="1">C10-D10</f>
        <v>28174408.510000002</v>
      </c>
    </row>
    <row r="11" spans="1:5" ht="14.4">
      <c r="A11" s="629">
        <v>1.3</v>
      </c>
      <c r="B11" s="535" t="s">
        <v>691</v>
      </c>
      <c r="C11" s="630">
        <v>7262453.1792000001</v>
      </c>
      <c r="D11" s="630"/>
      <c r="E11" s="630">
        <f t="shared" si="1"/>
        <v>7262453.1792000001</v>
      </c>
    </row>
    <row r="12" spans="1:5" ht="14.4">
      <c r="A12" s="629">
        <v>2</v>
      </c>
      <c r="B12" s="536" t="s">
        <v>496</v>
      </c>
      <c r="C12" s="630">
        <v>0</v>
      </c>
      <c r="D12" s="630"/>
      <c r="E12" s="630">
        <f t="shared" si="1"/>
        <v>0</v>
      </c>
    </row>
    <row r="13" spans="1:5" ht="14.4">
      <c r="A13" s="629">
        <v>2.1</v>
      </c>
      <c r="B13" s="537" t="s">
        <v>497</v>
      </c>
      <c r="C13" s="630">
        <v>0</v>
      </c>
      <c r="D13" s="630"/>
      <c r="E13" s="630">
        <f t="shared" si="1"/>
        <v>0</v>
      </c>
    </row>
    <row r="14" spans="1:5" ht="20.399999999999999">
      <c r="A14" s="629">
        <v>3</v>
      </c>
      <c r="B14" s="538" t="s">
        <v>498</v>
      </c>
      <c r="C14" s="630">
        <v>0</v>
      </c>
      <c r="D14" s="630"/>
      <c r="E14" s="630">
        <f t="shared" si="1"/>
        <v>0</v>
      </c>
    </row>
    <row r="15" spans="1:5" ht="14.4">
      <c r="A15" s="629">
        <v>4</v>
      </c>
      <c r="B15" s="509" t="s">
        <v>499</v>
      </c>
      <c r="C15" s="630">
        <v>0</v>
      </c>
      <c r="D15" s="630"/>
      <c r="E15" s="630">
        <f t="shared" si="1"/>
        <v>0</v>
      </c>
    </row>
    <row r="16" spans="1:5" ht="20.399999999999999">
      <c r="A16" s="629">
        <v>5</v>
      </c>
      <c r="B16" s="512" t="s">
        <v>500</v>
      </c>
      <c r="C16" s="630">
        <f>SUM(C17:C19)</f>
        <v>0</v>
      </c>
      <c r="D16" s="630">
        <f t="shared" ref="D16:E16" si="2">SUM(D17:D19)</f>
        <v>0</v>
      </c>
      <c r="E16" s="630">
        <f t="shared" si="2"/>
        <v>0</v>
      </c>
    </row>
    <row r="17" spans="1:5" ht="14.4">
      <c r="A17" s="629">
        <v>5.0999999999999996</v>
      </c>
      <c r="B17" s="508" t="s">
        <v>501</v>
      </c>
      <c r="C17" s="630">
        <v>0</v>
      </c>
      <c r="D17" s="630"/>
      <c r="E17" s="630">
        <f t="shared" ref="E17:E19" si="3">C17-D17</f>
        <v>0</v>
      </c>
    </row>
    <row r="18" spans="1:5" ht="14.4">
      <c r="A18" s="629">
        <v>5.2</v>
      </c>
      <c r="B18" s="508" t="s">
        <v>502</v>
      </c>
      <c r="C18" s="630">
        <v>0</v>
      </c>
      <c r="D18" s="630"/>
      <c r="E18" s="630">
        <f t="shared" si="3"/>
        <v>0</v>
      </c>
    </row>
    <row r="19" spans="1:5" ht="14.4">
      <c r="A19" s="629">
        <v>5.3</v>
      </c>
      <c r="B19" s="539" t="s">
        <v>503</v>
      </c>
      <c r="C19" s="630">
        <v>0</v>
      </c>
      <c r="D19" s="630"/>
      <c r="E19" s="630">
        <f t="shared" si="3"/>
        <v>0</v>
      </c>
    </row>
    <row r="20" spans="1:5" ht="14.4">
      <c r="A20" s="629">
        <v>6</v>
      </c>
      <c r="B20" s="538" t="s">
        <v>504</v>
      </c>
      <c r="C20" s="630">
        <f>SUM(C21:C22)</f>
        <v>559834185.44436443</v>
      </c>
      <c r="D20" s="630">
        <f t="shared" ref="D20:E20" si="4">SUM(D21:D22)</f>
        <v>0</v>
      </c>
      <c r="E20" s="630">
        <f t="shared" si="4"/>
        <v>559834185.44436443</v>
      </c>
    </row>
    <row r="21" spans="1:5" ht="14.4">
      <c r="A21" s="629">
        <v>6.1</v>
      </c>
      <c r="B21" s="508" t="s">
        <v>502</v>
      </c>
      <c r="C21" s="630">
        <v>0</v>
      </c>
      <c r="D21" s="630"/>
      <c r="E21" s="630">
        <f t="shared" ref="E21:E24" si="5">C21-D21</f>
        <v>0</v>
      </c>
    </row>
    <row r="22" spans="1:5" ht="14.4">
      <c r="A22" s="629">
        <v>6.2</v>
      </c>
      <c r="B22" s="539" t="s">
        <v>503</v>
      </c>
      <c r="C22" s="630">
        <v>559834185.44436443</v>
      </c>
      <c r="D22" s="630"/>
      <c r="E22" s="630">
        <f t="shared" si="5"/>
        <v>559834185.44436443</v>
      </c>
    </row>
    <row r="23" spans="1:5" ht="14.4">
      <c r="A23" s="629">
        <v>7</v>
      </c>
      <c r="B23" s="536" t="s">
        <v>505</v>
      </c>
      <c r="C23" s="630">
        <v>609791</v>
      </c>
      <c r="D23" s="630">
        <v>609791</v>
      </c>
      <c r="E23" s="630">
        <f t="shared" si="5"/>
        <v>0</v>
      </c>
    </row>
    <row r="24" spans="1:5" ht="20.399999999999999">
      <c r="A24" s="629">
        <v>8</v>
      </c>
      <c r="B24" s="536" t="s">
        <v>506</v>
      </c>
      <c r="C24" s="630">
        <v>0</v>
      </c>
      <c r="D24" s="630"/>
      <c r="E24" s="630">
        <f t="shared" si="5"/>
        <v>0</v>
      </c>
    </row>
    <row r="25" spans="1:5" ht="14.4">
      <c r="A25" s="629">
        <v>9</v>
      </c>
      <c r="B25" s="509" t="s">
        <v>507</v>
      </c>
      <c r="C25" s="630">
        <f>SUM(C26:C27)</f>
        <v>23010500.460000001</v>
      </c>
      <c r="D25" s="630">
        <f t="shared" ref="D25:E25" si="6">SUM(D26:D27)</f>
        <v>0</v>
      </c>
      <c r="E25" s="630">
        <f t="shared" si="6"/>
        <v>23010500.460000001</v>
      </c>
    </row>
    <row r="26" spans="1:5" ht="14.4">
      <c r="A26" s="629">
        <v>9.1</v>
      </c>
      <c r="B26" s="508" t="s">
        <v>508</v>
      </c>
      <c r="C26" s="630">
        <v>23010500.460000001</v>
      </c>
      <c r="D26" s="630"/>
      <c r="E26" s="630">
        <f t="shared" ref="E26:E27" si="7">C26-D26</f>
        <v>23010500.460000001</v>
      </c>
    </row>
    <row r="27" spans="1:5" ht="14.4">
      <c r="A27" s="629">
        <v>9.1999999999999993</v>
      </c>
      <c r="B27" s="508" t="s">
        <v>509</v>
      </c>
      <c r="C27" s="630">
        <v>0</v>
      </c>
      <c r="D27" s="630"/>
      <c r="E27" s="630">
        <f t="shared" si="7"/>
        <v>0</v>
      </c>
    </row>
    <row r="28" spans="1:5" ht="14.4">
      <c r="A28" s="629">
        <v>10</v>
      </c>
      <c r="B28" s="509" t="s">
        <v>510</v>
      </c>
      <c r="C28" s="630">
        <f>SUM(C29:C30)</f>
        <v>4592510.5999999996</v>
      </c>
      <c r="D28" s="630">
        <f t="shared" ref="D28:E28" si="8">SUM(D29:D30)</f>
        <v>4592510.5999999996</v>
      </c>
      <c r="E28" s="630">
        <f t="shared" si="8"/>
        <v>0</v>
      </c>
    </row>
    <row r="29" spans="1:5" ht="14.4">
      <c r="A29" s="629">
        <v>10.1</v>
      </c>
      <c r="B29" s="508" t="s">
        <v>511</v>
      </c>
      <c r="C29" s="630">
        <v>0</v>
      </c>
      <c r="D29" s="630"/>
      <c r="E29" s="630">
        <f t="shared" ref="E29:E30" si="9">C29-D29</f>
        <v>0</v>
      </c>
    </row>
    <row r="30" spans="1:5" ht="14.4">
      <c r="A30" s="629">
        <v>10.199999999999999</v>
      </c>
      <c r="B30" s="508" t="s">
        <v>512</v>
      </c>
      <c r="C30" s="630">
        <v>4592510.5999999996</v>
      </c>
      <c r="D30" s="630">
        <v>4592510.5999999996</v>
      </c>
      <c r="E30" s="630">
        <f t="shared" si="9"/>
        <v>0</v>
      </c>
    </row>
    <row r="31" spans="1:5" ht="14.4">
      <c r="A31" s="629">
        <v>11</v>
      </c>
      <c r="B31" s="509" t="s">
        <v>513</v>
      </c>
      <c r="C31" s="630">
        <f>SUM(C32:C33)</f>
        <v>3213479.31</v>
      </c>
      <c r="D31" s="630">
        <f t="shared" ref="D31:E31" si="10">SUM(D32:D33)</f>
        <v>0</v>
      </c>
      <c r="E31" s="630">
        <f t="shared" si="10"/>
        <v>3213479.31</v>
      </c>
    </row>
    <row r="32" spans="1:5" ht="14.4">
      <c r="A32" s="629">
        <v>11.1</v>
      </c>
      <c r="B32" s="508" t="s">
        <v>514</v>
      </c>
      <c r="C32" s="630">
        <v>1847099.46</v>
      </c>
      <c r="D32" s="630"/>
      <c r="E32" s="630">
        <f t="shared" ref="E32:E36" si="11">C32-D32</f>
        <v>1847099.46</v>
      </c>
    </row>
    <row r="33" spans="1:7" ht="14.4">
      <c r="A33" s="629">
        <v>11.2</v>
      </c>
      <c r="B33" s="508" t="s">
        <v>515</v>
      </c>
      <c r="C33" s="630">
        <v>1366379.85</v>
      </c>
      <c r="D33" s="630"/>
      <c r="E33" s="630">
        <f t="shared" si="11"/>
        <v>1366379.85</v>
      </c>
    </row>
    <row r="34" spans="1:7" ht="14.4">
      <c r="A34" s="629">
        <v>13</v>
      </c>
      <c r="B34" s="509" t="s">
        <v>516</v>
      </c>
      <c r="C34" s="630">
        <v>8634755.1754999962</v>
      </c>
      <c r="D34" s="630"/>
      <c r="E34" s="630">
        <f t="shared" si="11"/>
        <v>8634755.1754999962</v>
      </c>
    </row>
    <row r="35" spans="1:7" ht="14.4">
      <c r="A35" s="629">
        <v>13.1</v>
      </c>
      <c r="B35" s="540" t="s">
        <v>517</v>
      </c>
      <c r="C35" s="630">
        <v>3265159.5400000005</v>
      </c>
      <c r="D35" s="630"/>
      <c r="E35" s="630">
        <f t="shared" si="11"/>
        <v>3265159.5400000005</v>
      </c>
    </row>
    <row r="36" spans="1:7" ht="14.4">
      <c r="A36" s="629">
        <v>13.2</v>
      </c>
      <c r="B36" s="540" t="s">
        <v>518</v>
      </c>
      <c r="C36" s="630">
        <v>0</v>
      </c>
      <c r="D36" s="630"/>
      <c r="E36" s="630">
        <f t="shared" si="11"/>
        <v>0</v>
      </c>
    </row>
    <row r="37" spans="1:7" ht="26.4">
      <c r="A37" s="631"/>
      <c r="B37" s="632" t="s">
        <v>197</v>
      </c>
      <c r="C37" s="633">
        <f>SUM(C8,C12,C14,C15,C16,C20,C23,C24,C25,C28,C31,C34)</f>
        <v>665371398.30276442</v>
      </c>
      <c r="D37" s="633">
        <f t="shared" ref="D37" si="12">SUM(D8,D12,D14,D15,D16,D20,D23,D24,D25,D28,D31,D34)</f>
        <v>5202301.5999999996</v>
      </c>
      <c r="E37" s="633">
        <f>SUM(E8,E12,E14,E15,E16,E20,E23,E24,E25,E28,E31,E34)</f>
        <v>660169096.70276439</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C33"/>
  <sheetViews>
    <sheetView zoomScale="70" zoomScaleNormal="70" workbookViewId="0">
      <pane xSplit="1" ySplit="4" topLeftCell="B5" activePane="bottomRight" state="frozen"/>
      <selection pane="topRight"/>
      <selection pane="bottomLeft"/>
      <selection pane="bottomRight" activeCell="B5" sqref="B5"/>
    </sheetView>
  </sheetViews>
  <sheetFormatPr defaultColWidth="9.21875" defaultRowHeight="13.2" outlineLevelRow="1"/>
  <cols>
    <col min="1" max="1" width="13.5546875" style="4" bestFit="1" customWidth="1"/>
    <col min="2" max="2" width="114.21875" style="4" customWidth="1"/>
    <col min="3" max="3" width="18.77734375" style="4" customWidth="1"/>
    <col min="4" max="16384" width="9.21875" style="4"/>
  </cols>
  <sheetData>
    <row r="1" spans="1:3">
      <c r="A1" s="560" t="s">
        <v>680</v>
      </c>
      <c r="B1" s="552" t="str">
        <f>'Info '!C2</f>
        <v>Crystal</v>
      </c>
    </row>
    <row r="2" spans="1:3" s="2" customFormat="1" ht="15.75" customHeight="1">
      <c r="A2" s="64" t="s">
        <v>31</v>
      </c>
      <c r="B2" s="553">
        <f>'1. key ratios '!B2</f>
        <v>45930</v>
      </c>
      <c r="C2" s="4"/>
    </row>
    <row r="3" spans="1:3" s="2" customFormat="1" ht="15.75" customHeight="1">
      <c r="C3" s="4"/>
    </row>
    <row r="4" spans="1:3" s="2" customFormat="1" ht="13.8" thickBot="1">
      <c r="A4" s="2" t="s">
        <v>45</v>
      </c>
      <c r="B4" s="139" t="s">
        <v>485</v>
      </c>
      <c r="C4" s="36" t="s">
        <v>35</v>
      </c>
    </row>
    <row r="5" spans="1:3">
      <c r="A5" s="104">
        <v>1</v>
      </c>
      <c r="B5" s="140" t="s">
        <v>487</v>
      </c>
      <c r="C5" s="628">
        <f>'7. LI1 '!E37</f>
        <v>660169096.70276439</v>
      </c>
    </row>
    <row r="6" spans="1:3">
      <c r="A6" s="42">
        <v>2.1</v>
      </c>
      <c r="B6" s="86" t="s">
        <v>180</v>
      </c>
      <c r="C6" s="399">
        <v>2254584.292799999</v>
      </c>
    </row>
    <row r="7" spans="1:3" s="32" customFormat="1" hidden="1" outlineLevel="1">
      <c r="A7" s="26">
        <v>2.2000000000000002</v>
      </c>
      <c r="B7" s="27" t="s">
        <v>181</v>
      </c>
      <c r="C7" s="625">
        <v>295539532.16799998</v>
      </c>
    </row>
    <row r="8" spans="1:3" s="32" customFormat="1" collapsed="1">
      <c r="A8" s="26">
        <v>3</v>
      </c>
      <c r="B8" s="102" t="s">
        <v>486</v>
      </c>
      <c r="C8" s="626">
        <f>SUM(C5:C7)</f>
        <v>957963213.16356432</v>
      </c>
    </row>
    <row r="9" spans="1:3">
      <c r="A9" s="42">
        <v>4</v>
      </c>
      <c r="B9" s="43" t="s">
        <v>47</v>
      </c>
      <c r="C9" s="399">
        <v>0</v>
      </c>
    </row>
    <row r="10" spans="1:3" s="32" customFormat="1" hidden="1" outlineLevel="1">
      <c r="A10" s="26">
        <v>5.0999999999999996</v>
      </c>
      <c r="B10" s="27" t="s">
        <v>182</v>
      </c>
      <c r="C10" s="625">
        <v>-1665571.3361099991</v>
      </c>
    </row>
    <row r="11" spans="1:3" s="32" customFormat="1" hidden="1" outlineLevel="1">
      <c r="A11" s="26">
        <v>5.2</v>
      </c>
      <c r="B11" s="27" t="s">
        <v>183</v>
      </c>
      <c r="C11" s="625">
        <v>-288051816.34013522</v>
      </c>
    </row>
    <row r="12" spans="1:3" s="32" customFormat="1" collapsed="1">
      <c r="A12" s="26">
        <v>6</v>
      </c>
      <c r="B12" s="101" t="s">
        <v>668</v>
      </c>
      <c r="C12" s="625">
        <v>0</v>
      </c>
    </row>
    <row r="13" spans="1:3" s="32" customFormat="1" ht="13.8" thickBot="1">
      <c r="A13" s="28">
        <v>7</v>
      </c>
      <c r="B13" s="103" t="s">
        <v>147</v>
      </c>
      <c r="C13" s="627">
        <f>SUM(C8:C12)</f>
        <v>668245825.48731911</v>
      </c>
    </row>
    <row r="15" spans="1:3">
      <c r="B15" s="32"/>
    </row>
    <row r="17" spans="1:2" ht="13.8">
      <c r="A17" s="109"/>
      <c r="B17" s="110"/>
    </row>
    <row r="18" spans="1:2" ht="14.4">
      <c r="A18" s="114"/>
      <c r="B18" s="115"/>
    </row>
    <row r="19" spans="1:2" ht="13.8">
      <c r="A19" s="116"/>
      <c r="B19" s="111"/>
    </row>
    <row r="20" spans="1:2" ht="13.8">
      <c r="A20" s="117"/>
      <c r="B20" s="112"/>
    </row>
    <row r="21" spans="1:2" ht="13.8">
      <c r="A21" s="117"/>
      <c r="B21" s="115"/>
    </row>
    <row r="22" spans="1:2" ht="13.8">
      <c r="A22" s="116"/>
      <c r="B22" s="113"/>
    </row>
    <row r="23" spans="1:2" ht="13.8">
      <c r="A23" s="117"/>
      <c r="B23" s="112"/>
    </row>
    <row r="24" spans="1:2" ht="13.8">
      <c r="A24" s="117"/>
      <c r="B24" s="112"/>
    </row>
    <row r="25" spans="1:2" ht="13.8">
      <c r="A25" s="117"/>
      <c r="B25" s="118"/>
    </row>
    <row r="26" spans="1:2" ht="13.8">
      <c r="A26" s="117"/>
      <c r="B26" s="115"/>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2025-11-06T11:26:08Z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