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24226"/>
  <xr:revisionPtr revIDLastSave="0" documentId="13_ncr:1_{C2CA3C1E-DAA9-476C-BD41-1D32B465D396}" xr6:coauthVersionLast="47" xr6:coauthVersionMax="47" xr10:uidLastSave="{00000000-0000-0000-0000-000000000000}"/>
  <bookViews>
    <workbookView xWindow="-108" yWindow="-108" windowWidth="23256" windowHeight="13896" tabRatio="919" firstSheet="1"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5.2 CVA" sheetId="123" r:id="rId19"/>
    <sheet name="16. NSFR" sheetId="97" r:id="rId20"/>
    <sheet name=" 17. Residual Maturity" sheetId="111" r:id="rId21"/>
    <sheet name="18. Assets by Exposure classes" sheetId="112" r:id="rId22"/>
    <sheet name="19. Assets by Risk Sectors" sheetId="113" r:id="rId23"/>
    <sheet name="20. Reserves" sheetId="114" r:id="rId24"/>
    <sheet name="21. NPL" sheetId="115" r:id="rId25"/>
    <sheet name="22. Quality" sheetId="116" r:id="rId26"/>
    <sheet name="23. LTV" sheetId="117" r:id="rId27"/>
    <sheet name="24. Risk Sector" sheetId="124" r:id="rId28"/>
    <sheet name="25. Collateral" sheetId="119" r:id="rId29"/>
    <sheet name="26. Retail Products" sheetId="120" r:id="rId30"/>
  </sheets>
  <definedNames>
    <definedName name="_cur1">#REF!</definedName>
    <definedName name="_cur2">#REF!</definedName>
    <definedName name="_sum1">#REF!</definedName>
    <definedName name="_sum2">#REF!</definedName>
    <definedName name="ACC_BALACC" localSheetId="20">#REF!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20">#REF!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20">#REF!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20">#REF!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20">#REF!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20">#REF!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20">#REF!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20">#REF!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20">#REF!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20">#REF!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20">#REF!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20">#REF!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20">#REF!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20">#REF!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 i="115" l="1"/>
  <c r="C18" i="115" s="1"/>
  <c r="C10" i="114"/>
  <c r="C7" i="114"/>
  <c r="C15" i="114" s="1"/>
  <c r="G21" i="112"/>
  <c r="F21" i="112"/>
  <c r="E21" i="112"/>
  <c r="D21" i="112"/>
  <c r="C21" i="112"/>
  <c r="C22" i="111"/>
  <c r="D22" i="111"/>
  <c r="E22" i="111"/>
  <c r="F22" i="111"/>
  <c r="G22" i="111"/>
  <c r="G33" i="97"/>
  <c r="F33" i="97"/>
  <c r="E33" i="97"/>
  <c r="D33" i="97"/>
  <c r="C33" i="97"/>
  <c r="G24" i="97"/>
  <c r="G37" i="97" s="1"/>
  <c r="F24" i="97"/>
  <c r="E24" i="97"/>
  <c r="D24" i="97"/>
  <c r="C24" i="97"/>
  <c r="G20" i="97"/>
  <c r="G19" i="97"/>
  <c r="G18" i="97" s="1"/>
  <c r="F18" i="97"/>
  <c r="E18" i="97"/>
  <c r="D18" i="97"/>
  <c r="C18" i="97"/>
  <c r="G17" i="97"/>
  <c r="G16" i="97"/>
  <c r="G15" i="97"/>
  <c r="G14" i="97"/>
  <c r="F14" i="97"/>
  <c r="E14" i="97"/>
  <c r="D14" i="97"/>
  <c r="C14" i="97"/>
  <c r="G13" i="97"/>
  <c r="G11" i="97" s="1"/>
  <c r="G21" i="97" s="1"/>
  <c r="G12" i="97"/>
  <c r="F11" i="97"/>
  <c r="E11" i="97"/>
  <c r="D11" i="97"/>
  <c r="C11" i="97"/>
  <c r="G10" i="97"/>
  <c r="G9" i="97"/>
  <c r="G8" i="97"/>
  <c r="F8" i="97"/>
  <c r="E8" i="97"/>
  <c r="D8" i="97"/>
  <c r="C8" i="97"/>
  <c r="I33" i="92"/>
  <c r="I32" i="92"/>
  <c r="I31" i="92"/>
  <c r="I30" i="92"/>
  <c r="I29" i="92"/>
  <c r="I28" i="92"/>
  <c r="I27" i="92"/>
  <c r="I26" i="92"/>
  <c r="I25" i="92"/>
  <c r="I24" i="92"/>
  <c r="I23" i="92"/>
  <c r="I22" i="92"/>
  <c r="I21" i="92"/>
  <c r="I20" i="92"/>
  <c r="I19" i="92"/>
  <c r="I18" i="92"/>
  <c r="I17" i="92"/>
  <c r="I16" i="92"/>
  <c r="I15" i="92"/>
  <c r="I14" i="92"/>
  <c r="I13" i="92"/>
  <c r="I12" i="92"/>
  <c r="I11" i="92"/>
  <c r="I10" i="92"/>
  <c r="P9" i="92"/>
  <c r="O9" i="92"/>
  <c r="N9" i="92"/>
  <c r="M9" i="92"/>
  <c r="L9" i="92"/>
  <c r="K9" i="92"/>
  <c r="J9" i="92"/>
  <c r="G9" i="92"/>
  <c r="F9" i="92"/>
  <c r="I9" i="92" s="1"/>
  <c r="E9" i="92"/>
  <c r="D9" i="92"/>
  <c r="C9" i="92"/>
  <c r="P8" i="92"/>
  <c r="O8" i="92"/>
  <c r="N8" i="92"/>
  <c r="M8" i="92"/>
  <c r="L8" i="92"/>
  <c r="K8" i="92"/>
  <c r="J8" i="92"/>
  <c r="G8" i="92"/>
  <c r="F8" i="92"/>
  <c r="I8" i="92" s="1"/>
  <c r="E8" i="92"/>
  <c r="D8" i="92"/>
  <c r="C8" i="92"/>
  <c r="P7" i="92"/>
  <c r="P6" i="92" s="1"/>
  <c r="P34" i="92" s="1"/>
  <c r="O7" i="92"/>
  <c r="N7" i="92"/>
  <c r="N6" i="92" s="1"/>
  <c r="N34" i="92" s="1"/>
  <c r="M7" i="92"/>
  <c r="M6" i="92" s="1"/>
  <c r="M34" i="92" s="1"/>
  <c r="L7" i="92"/>
  <c r="L6" i="92" s="1"/>
  <c r="L34" i="92" s="1"/>
  <c r="K7" i="92"/>
  <c r="K6" i="92" s="1"/>
  <c r="K34" i="92" s="1"/>
  <c r="J7" i="92"/>
  <c r="J6" i="92" s="1"/>
  <c r="J34" i="92" s="1"/>
  <c r="I7" i="92"/>
  <c r="I6" i="92" s="1"/>
  <c r="G7" i="92"/>
  <c r="F7" i="92"/>
  <c r="F6" i="92" s="1"/>
  <c r="F34" i="92" s="1"/>
  <c r="E7" i="92"/>
  <c r="E6" i="92" s="1"/>
  <c r="E34" i="92" s="1"/>
  <c r="D7" i="92"/>
  <c r="D6" i="92" s="1"/>
  <c r="D34" i="92" s="1"/>
  <c r="C7" i="92"/>
  <c r="C6" i="92" s="1"/>
  <c r="C34" i="92" s="1"/>
  <c r="O6" i="92"/>
  <c r="O34" i="92" s="1"/>
  <c r="G6" i="92"/>
  <c r="G34" i="92" s="1"/>
  <c r="S22" i="90"/>
  <c r="C22" i="90"/>
  <c r="D22" i="90"/>
  <c r="E22" i="90"/>
  <c r="F22" i="90"/>
  <c r="G22" i="90"/>
  <c r="H22" i="90"/>
  <c r="I22" i="90"/>
  <c r="J22" i="90"/>
  <c r="K22" i="90"/>
  <c r="L22" i="90"/>
  <c r="M22" i="90"/>
  <c r="N22" i="90"/>
  <c r="O22" i="90"/>
  <c r="P22" i="90"/>
  <c r="Q22" i="90"/>
  <c r="R22" i="90"/>
  <c r="C48" i="89"/>
  <c r="C44" i="89"/>
  <c r="C53" i="89" s="1"/>
  <c r="C36" i="89"/>
  <c r="C32" i="89"/>
  <c r="C31" i="89" s="1"/>
  <c r="C42" i="89" s="1"/>
  <c r="C12" i="89"/>
  <c r="C6" i="89"/>
  <c r="C29" i="89" s="1"/>
  <c r="E36" i="88"/>
  <c r="E35" i="88"/>
  <c r="E34" i="88"/>
  <c r="E33" i="88"/>
  <c r="E32" i="88"/>
  <c r="E31" i="88"/>
  <c r="D31" i="88"/>
  <c r="D30" i="88"/>
  <c r="E30" i="88" s="1"/>
  <c r="E28" i="88" s="1"/>
  <c r="E29" i="88"/>
  <c r="D28" i="88"/>
  <c r="E27" i="88"/>
  <c r="E26" i="88"/>
  <c r="E25" i="88" s="1"/>
  <c r="D25" i="88"/>
  <c r="E24" i="88"/>
  <c r="D23" i="88"/>
  <c r="E23" i="88" s="1"/>
  <c r="E22" i="88"/>
  <c r="E20" i="88" s="1"/>
  <c r="E21" i="88"/>
  <c r="D20" i="88"/>
  <c r="C20" i="88"/>
  <c r="E19" i="88"/>
  <c r="E18" i="88"/>
  <c r="E17" i="88"/>
  <c r="E16" i="88"/>
  <c r="D16" i="88"/>
  <c r="E15" i="88"/>
  <c r="E14" i="88"/>
  <c r="E13" i="88"/>
  <c r="E12" i="88"/>
  <c r="E11" i="88"/>
  <c r="E8" i="88" s="1"/>
  <c r="E10" i="88"/>
  <c r="E9" i="88"/>
  <c r="D8" i="88"/>
  <c r="C8" i="88"/>
  <c r="I34" i="92" l="1"/>
  <c r="F6" i="86"/>
  <c r="F13" i="86" s="1"/>
  <c r="E6" i="86"/>
  <c r="E13" i="86" s="1"/>
  <c r="D6" i="86"/>
  <c r="D13" i="86" s="1"/>
  <c r="C6" i="86"/>
  <c r="C13" i="86" s="1"/>
  <c r="D38" i="110"/>
  <c r="C38" i="110"/>
  <c r="D30" i="110"/>
  <c r="C30" i="110"/>
  <c r="D17" i="110"/>
  <c r="C17" i="110"/>
  <c r="D14" i="110"/>
  <c r="C14" i="110"/>
  <c r="D11" i="110"/>
  <c r="C11" i="110"/>
  <c r="D8" i="110"/>
  <c r="C8" i="110"/>
  <c r="D37" i="109"/>
  <c r="C37" i="109"/>
  <c r="D34" i="109"/>
  <c r="C34" i="109"/>
  <c r="D29" i="109"/>
  <c r="C29" i="109"/>
  <c r="D13" i="109"/>
  <c r="C13" i="109"/>
  <c r="D6" i="109"/>
  <c r="D43" i="109" s="1"/>
  <c r="D45" i="109" s="1"/>
  <c r="C6" i="109"/>
  <c r="C43" i="109" s="1"/>
  <c r="C45" i="109" s="1"/>
  <c r="E29" i="109" l="1"/>
  <c r="E34" i="109"/>
  <c r="E37" i="109"/>
  <c r="D63" i="108"/>
  <c r="C63" i="108"/>
  <c r="D59" i="108"/>
  <c r="D68" i="108" s="1"/>
  <c r="D69" i="108" s="1"/>
  <c r="C59" i="108"/>
  <c r="C68" i="108" s="1"/>
  <c r="C69" i="108" s="1"/>
  <c r="D47" i="108"/>
  <c r="C47" i="108"/>
  <c r="D41" i="108"/>
  <c r="C41" i="108"/>
  <c r="E35" i="108"/>
  <c r="E34" i="108"/>
  <c r="E33" i="108"/>
  <c r="E32" i="108"/>
  <c r="E31" i="108"/>
  <c r="D30" i="108"/>
  <c r="C30" i="108"/>
  <c r="E30" i="108" s="1"/>
  <c r="E29" i="108"/>
  <c r="E28" i="108"/>
  <c r="E27" i="108"/>
  <c r="D27" i="108"/>
  <c r="C27" i="108"/>
  <c r="E26" i="108"/>
  <c r="E25" i="108"/>
  <c r="D24" i="108"/>
  <c r="C24" i="108"/>
  <c r="E24" i="108" s="1"/>
  <c r="E23" i="108"/>
  <c r="E22" i="108"/>
  <c r="E21" i="108"/>
  <c r="E20" i="108"/>
  <c r="D19" i="108"/>
  <c r="C19" i="108"/>
  <c r="E19" i="108" s="1"/>
  <c r="E18" i="108"/>
  <c r="E17" i="108"/>
  <c r="E16" i="108"/>
  <c r="D15" i="108"/>
  <c r="D36" i="108" s="1"/>
  <c r="C15" i="108"/>
  <c r="C36" i="108" s="1"/>
  <c r="E36" i="108" s="1"/>
  <c r="E14" i="108"/>
  <c r="E13" i="108"/>
  <c r="E12" i="108"/>
  <c r="E11" i="108"/>
  <c r="E10" i="108"/>
  <c r="E9" i="108"/>
  <c r="E8" i="108"/>
  <c r="E7" i="108"/>
  <c r="D7" i="108"/>
  <c r="C7" i="108"/>
  <c r="H33" i="124"/>
  <c r="G39" i="97"/>
  <c r="J24" i="93"/>
  <c r="J25" i="93" s="1"/>
  <c r="H24" i="93"/>
  <c r="K24" i="93"/>
  <c r="C37" i="88"/>
  <c r="G6" i="86"/>
  <c r="G13" i="86" s="1"/>
  <c r="E30" i="110"/>
  <c r="E8" i="110"/>
  <c r="E27" i="109"/>
  <c r="D53" i="108"/>
  <c r="C53" i="108"/>
  <c r="C5" i="84"/>
  <c r="G69" i="108"/>
  <c r="F69" i="108"/>
  <c r="H69" i="108" s="1"/>
  <c r="G68" i="108"/>
  <c r="F68" i="108"/>
  <c r="H68" i="108" s="1"/>
  <c r="H67" i="108"/>
  <c r="E67" i="108"/>
  <c r="H66" i="108"/>
  <c r="E66" i="108"/>
  <c r="H65" i="108"/>
  <c r="E65" i="108"/>
  <c r="H64" i="108"/>
  <c r="E64" i="108"/>
  <c r="H63" i="108"/>
  <c r="H62" i="108"/>
  <c r="E62" i="108"/>
  <c r="H61" i="108"/>
  <c r="E61" i="108"/>
  <c r="H60" i="108"/>
  <c r="E60" i="108"/>
  <c r="H59" i="108"/>
  <c r="H58" i="108"/>
  <c r="E58" i="108"/>
  <c r="H57" i="108"/>
  <c r="E57" i="108"/>
  <c r="H56" i="108"/>
  <c r="E56" i="108"/>
  <c r="H55" i="108"/>
  <c r="E55" i="108"/>
  <c r="H52" i="108"/>
  <c r="E52" i="108"/>
  <c r="H51" i="108"/>
  <c r="E51" i="108"/>
  <c r="H50" i="108"/>
  <c r="E50" i="108"/>
  <c r="H49" i="108"/>
  <c r="E49" i="108"/>
  <c r="H48" i="108"/>
  <c r="E48" i="108"/>
  <c r="G47" i="108"/>
  <c r="G53" i="108" s="1"/>
  <c r="F47" i="108"/>
  <c r="F53" i="108" s="1"/>
  <c r="H53" i="108" s="1"/>
  <c r="H46" i="108"/>
  <c r="E46" i="108"/>
  <c r="H45" i="108"/>
  <c r="E45" i="108"/>
  <c r="H44" i="108"/>
  <c r="E44" i="108"/>
  <c r="H43" i="108"/>
  <c r="E43" i="108"/>
  <c r="H42" i="108"/>
  <c r="E42" i="108"/>
  <c r="H41" i="108"/>
  <c r="G41" i="108"/>
  <c r="F41" i="108"/>
  <c r="H40" i="108"/>
  <c r="E40" i="108"/>
  <c r="H39" i="108"/>
  <c r="E39" i="108"/>
  <c r="H38" i="108"/>
  <c r="E38" i="108"/>
  <c r="H35" i="108"/>
  <c r="H34" i="108"/>
  <c r="H33" i="108"/>
  <c r="H32" i="108"/>
  <c r="H31" i="108"/>
  <c r="G30" i="108"/>
  <c r="F30" i="108"/>
  <c r="H30" i="108" s="1"/>
  <c r="H29" i="108"/>
  <c r="H28" i="108"/>
  <c r="G27" i="108"/>
  <c r="F27" i="108"/>
  <c r="H27" i="108" s="1"/>
  <c r="H26" i="108"/>
  <c r="H25" i="108"/>
  <c r="G24" i="108"/>
  <c r="H24" i="108" s="1"/>
  <c r="F24" i="108"/>
  <c r="H23" i="108"/>
  <c r="H22" i="108"/>
  <c r="H21" i="108"/>
  <c r="H20" i="108"/>
  <c r="G19" i="108"/>
  <c r="F19" i="108"/>
  <c r="H19" i="108" s="1"/>
  <c r="H18" i="108"/>
  <c r="H17" i="108"/>
  <c r="H16" i="108"/>
  <c r="G15" i="108"/>
  <c r="F15" i="108"/>
  <c r="H15" i="108" s="1"/>
  <c r="H14" i="108"/>
  <c r="H13" i="108"/>
  <c r="H12" i="108"/>
  <c r="H11" i="108"/>
  <c r="H10" i="108"/>
  <c r="H9" i="108"/>
  <c r="H8" i="108"/>
  <c r="G7" i="108"/>
  <c r="G36" i="108" s="1"/>
  <c r="F7" i="108"/>
  <c r="F36" i="108" s="1"/>
  <c r="H36" i="108" s="1"/>
  <c r="H44" i="109"/>
  <c r="E44" i="109"/>
  <c r="F43" i="109"/>
  <c r="F45" i="109" s="1"/>
  <c r="H42" i="109"/>
  <c r="E42" i="109"/>
  <c r="H41" i="109"/>
  <c r="E41" i="109"/>
  <c r="H40" i="109"/>
  <c r="E40" i="109"/>
  <c r="H39" i="109"/>
  <c r="E39" i="109"/>
  <c r="H38" i="109"/>
  <c r="E38" i="109"/>
  <c r="G37" i="109"/>
  <c r="H37" i="109" s="1"/>
  <c r="F37" i="109"/>
  <c r="H36" i="109"/>
  <c r="E36" i="109"/>
  <c r="H35" i="109"/>
  <c r="E35" i="109"/>
  <c r="G34" i="109"/>
  <c r="G43" i="109" s="1"/>
  <c r="G45" i="109" s="1"/>
  <c r="F34" i="109"/>
  <c r="H33" i="109"/>
  <c r="E33" i="109"/>
  <c r="H32" i="109"/>
  <c r="E32" i="109"/>
  <c r="H31" i="109"/>
  <c r="E31" i="109"/>
  <c r="H30" i="109"/>
  <c r="E30" i="109"/>
  <c r="G29" i="109"/>
  <c r="H29" i="109" s="1"/>
  <c r="F29" i="109"/>
  <c r="H28" i="109"/>
  <c r="E28" i="109"/>
  <c r="H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H13" i="109" s="1"/>
  <c r="F13" i="109"/>
  <c r="H12" i="109"/>
  <c r="E12" i="109"/>
  <c r="H11" i="109"/>
  <c r="E11" i="109"/>
  <c r="H10" i="109"/>
  <c r="E10" i="109"/>
  <c r="H9" i="109"/>
  <c r="E9" i="109"/>
  <c r="H8" i="109"/>
  <c r="E8" i="109"/>
  <c r="H7" i="109"/>
  <c r="E7" i="109"/>
  <c r="G6" i="109"/>
  <c r="F6" i="109"/>
  <c r="H6" i="109" s="1"/>
  <c r="H43" i="110"/>
  <c r="E43" i="110"/>
  <c r="H42" i="110"/>
  <c r="E42" i="110"/>
  <c r="H41" i="110"/>
  <c r="E41" i="110"/>
  <c r="H40" i="110"/>
  <c r="E40" i="110"/>
  <c r="H39" i="110"/>
  <c r="E39" i="110"/>
  <c r="G38" i="110"/>
  <c r="F38" i="110"/>
  <c r="H38" i="110" s="1"/>
  <c r="E38" i="110"/>
  <c r="H37" i="110"/>
  <c r="E37" i="110"/>
  <c r="H36" i="110"/>
  <c r="E36" i="110"/>
  <c r="H35" i="110"/>
  <c r="E35" i="110"/>
  <c r="H34" i="110"/>
  <c r="E34" i="110"/>
  <c r="H33" i="110"/>
  <c r="E33" i="110"/>
  <c r="H32" i="110"/>
  <c r="E32" i="110"/>
  <c r="H31" i="110"/>
  <c r="E31" i="110"/>
  <c r="G30" i="110"/>
  <c r="F30" i="110"/>
  <c r="H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G14" i="110"/>
  <c r="F14" i="110"/>
  <c r="H14" i="110" s="1"/>
  <c r="H13" i="110"/>
  <c r="E13" i="110"/>
  <c r="H12" i="110"/>
  <c r="E12" i="110"/>
  <c r="G11" i="110"/>
  <c r="F11" i="110"/>
  <c r="H11" i="110" s="1"/>
  <c r="E11" i="110"/>
  <c r="H10" i="110"/>
  <c r="E10" i="110"/>
  <c r="H9" i="110"/>
  <c r="E9" i="110"/>
  <c r="G8" i="110"/>
  <c r="F8" i="110"/>
  <c r="H8" i="110" s="1"/>
  <c r="H7" i="110"/>
  <c r="E7" i="110"/>
  <c r="H6" i="110"/>
  <c r="E6" i="110"/>
  <c r="D37" i="88"/>
  <c r="G22" i="91"/>
  <c r="F22" i="91"/>
  <c r="E22" i="91"/>
  <c r="D22" i="91"/>
  <c r="C22" i="91"/>
  <c r="H21" i="91"/>
  <c r="H20" i="91"/>
  <c r="H19" i="91"/>
  <c r="H18" i="91"/>
  <c r="H17" i="91"/>
  <c r="H16" i="91"/>
  <c r="H15" i="91"/>
  <c r="H14" i="91"/>
  <c r="H13" i="91"/>
  <c r="H12" i="91"/>
  <c r="H11" i="91"/>
  <c r="H10" i="91"/>
  <c r="H9" i="91"/>
  <c r="H8" i="91"/>
  <c r="J23" i="93"/>
  <c r="I23" i="93"/>
  <c r="G23" i="93"/>
  <c r="F23" i="93"/>
  <c r="H23" i="93" s="1"/>
  <c r="F24" i="93"/>
  <c r="Q19" i="92"/>
  <c r="H21" i="111"/>
  <c r="H20" i="111"/>
  <c r="H19" i="111"/>
  <c r="H18" i="111"/>
  <c r="H17" i="111"/>
  <c r="H16" i="111"/>
  <c r="H15" i="111"/>
  <c r="H14" i="111"/>
  <c r="H13" i="111"/>
  <c r="H12" i="111"/>
  <c r="H11" i="111"/>
  <c r="H10" i="111"/>
  <c r="H9" i="111"/>
  <c r="H8" i="111"/>
  <c r="H23" i="112"/>
  <c r="H22" i="112"/>
  <c r="H20" i="112"/>
  <c r="H19" i="112"/>
  <c r="H18" i="112"/>
  <c r="H17" i="112"/>
  <c r="H16" i="112"/>
  <c r="H15" i="112"/>
  <c r="H14" i="112"/>
  <c r="H13" i="112"/>
  <c r="H12" i="112"/>
  <c r="H11" i="112"/>
  <c r="H10" i="112"/>
  <c r="H9" i="112"/>
  <c r="H8" i="112"/>
  <c r="H7" i="112"/>
  <c r="G34" i="113"/>
  <c r="F34" i="113"/>
  <c r="E34" i="113"/>
  <c r="D34" i="113"/>
  <c r="C34" i="113"/>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D10" i="114"/>
  <c r="D7" i="114"/>
  <c r="D15" i="114" s="1"/>
  <c r="B1" i="124"/>
  <c r="B2" i="124"/>
  <c r="C33" i="124"/>
  <c r="D33" i="124"/>
  <c r="E33" i="124"/>
  <c r="F33" i="124"/>
  <c r="G33" i="124"/>
  <c r="I33" i="124"/>
  <c r="J33" i="124"/>
  <c r="K33" i="124"/>
  <c r="L33" i="124"/>
  <c r="H34" i="113" l="1"/>
  <c r="H22" i="91"/>
  <c r="E45" i="109"/>
  <c r="E15" i="108"/>
  <c r="H21" i="112"/>
  <c r="H22" i="111"/>
  <c r="I24" i="93"/>
  <c r="I25" i="93" s="1"/>
  <c r="G24" i="93"/>
  <c r="G25" i="93" s="1"/>
  <c r="K23" i="93"/>
  <c r="K25" i="93" s="1"/>
  <c r="E37" i="88"/>
  <c r="E13" i="109"/>
  <c r="E59" i="108"/>
  <c r="E63" i="108"/>
  <c r="E41" i="108"/>
  <c r="E47" i="108"/>
  <c r="E68" i="108"/>
  <c r="H47" i="108"/>
  <c r="E53" i="108"/>
  <c r="H7" i="108"/>
  <c r="H45" i="109"/>
  <c r="H43" i="109"/>
  <c r="E6" i="109"/>
  <c r="H34" i="109"/>
  <c r="E14" i="110"/>
  <c r="H25" i="93"/>
  <c r="F25" i="93"/>
  <c r="E43" i="109" l="1"/>
  <c r="E69" i="108"/>
  <c r="Q33" i="92" l="1"/>
  <c r="Q32" i="92"/>
  <c r="Q31" i="92"/>
  <c r="Q30" i="92"/>
  <c r="Q29" i="92"/>
  <c r="Q28" i="92"/>
  <c r="Q27" i="92"/>
  <c r="Q25" i="92"/>
  <c r="Q24" i="92"/>
  <c r="Q23" i="92"/>
  <c r="Q22" i="92" s="1"/>
  <c r="Q21" i="92"/>
  <c r="Q20" i="92"/>
  <c r="Q18" i="92" s="1"/>
  <c r="Q17" i="92"/>
  <c r="Q16" i="92"/>
  <c r="Q15" i="92"/>
  <c r="Q13" i="92"/>
  <c r="Q12" i="92"/>
  <c r="Q11" i="92"/>
  <c r="Q10" i="92" s="1"/>
  <c r="F6" i="123"/>
  <c r="E6" i="123"/>
  <c r="D6" i="123"/>
  <c r="C6" i="123"/>
  <c r="Q26" i="92" l="1"/>
  <c r="Q8" i="92"/>
  <c r="Q9" i="92"/>
  <c r="Q14" i="92"/>
  <c r="Q7" i="92"/>
  <c r="Q6" i="92" s="1"/>
  <c r="Q34" i="92" s="1"/>
  <c r="B1" i="92" l="1"/>
  <c r="B2" i="92"/>
  <c r="B2" i="123"/>
  <c r="B1" i="123"/>
  <c r="B2" i="97" l="1"/>
  <c r="B2" i="95"/>
  <c r="B2" i="93"/>
  <c r="B2" i="91"/>
  <c r="B2" i="64"/>
  <c r="B2" i="90"/>
  <c r="B2" i="69"/>
  <c r="B2" i="94"/>
  <c r="B2" i="89"/>
  <c r="B2" i="73"/>
  <c r="B2" i="88"/>
  <c r="B2" i="52"/>
  <c r="B2" i="86"/>
  <c r="C5" i="86" s="1"/>
  <c r="B2" i="110"/>
  <c r="B2" i="109"/>
  <c r="B2" i="108"/>
  <c r="B1" i="110"/>
  <c r="B1" i="109"/>
  <c r="B1" i="108"/>
  <c r="B2" i="120" l="1"/>
  <c r="B1" i="120"/>
  <c r="B2" i="119"/>
  <c r="B1" i="119"/>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B1" i="91" l="1"/>
  <c r="B1" i="84"/>
  <c r="T21" i="64" l="1"/>
  <c r="U21" i="64"/>
  <c r="S21" i="64"/>
  <c r="C21" i="64"/>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0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<sst xmlns="http://schemas.openxmlformats.org/spreadsheetml/2006/main" count="1210" uniqueCount="758">
  <si>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</si>
  <si>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</si>
  <si>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</si>
  <si>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</si>
  <si>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</si>
  <si>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</si>
  <si>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</si>
  <si>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</si>
  <si>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</si>
  <si>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</si>
  <si>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</si>
  <si>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</si>
  <si>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</si>
  <si>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</si>
  <si>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</si>
  <si>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</si>
  <si>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</si>
  <si>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</si>
  <si>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</si>
  <si>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</si>
  <si>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</si>
  <si>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</si>
  <si>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</si>
  <si>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</si>
  <si>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</si>
  <si>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</si>
  <si>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</si>
  <si>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</si>
  <si>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</si>
  <si>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</si>
  <si>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</si>
  <si>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</si>
  <si>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</si>
  <si>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</si>
  <si>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</si>
  <si>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</si>
  <si>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</si>
  <si>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</si>
  <si>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</si>
  <si>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</si>
  <si>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</si>
  <si>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</si>
  <si>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</si>
  <si>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</si>
  <si>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</si>
  <si>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</si>
  <si>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</si>
  <si>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</si>
  <si>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</si>
  <si>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</si>
  <si>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</si>
  <si>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</si>
  <si>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</si>
  <si>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</si>
  <si>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</si>
  <si>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</si>
  <si>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</si>
  <si>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</si>
  <si>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</si>
  <si>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</si>
  <si>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</si>
  <si>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</si>
  <si>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</si>
  <si>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Cash on deposit with, or cash assimilated instruments</t>
  </si>
  <si>
    <t>Standard gold bullion or equivalent</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</si>
  <si>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</si>
  <si>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</si>
  <si>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</si>
  <si>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</si>
  <si>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</si>
  <si>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</si>
  <si>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</si>
  <si>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</si>
  <si>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</si>
  <si>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</si>
  <si>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</si>
  <si>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</si>
  <si>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</si>
  <si>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</si>
  <si>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</si>
  <si>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</si>
  <si>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</si>
  <si>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</si>
  <si>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</si>
  <si>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</si>
  <si>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</si>
  <si>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</si>
  <si>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</si>
  <si>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</si>
  <si>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</si>
  <si>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</si>
  <si>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</si>
  <si>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</si>
  <si>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</si>
  <si>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</si>
  <si>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</si>
  <si>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</si>
  <si>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</si>
  <si>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</si>
  <si>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</si>
  <si>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</si>
  <si>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</si>
  <si>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</si>
  <si>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</si>
  <si>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</si>
  <si>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</si>
  <si>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</si>
  <si>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</si>
  <si>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</si>
  <si>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</si>
  <si>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</si>
  <si>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</si>
  <si>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Deferred tax assets arising from temporary differences (amount above 10% threshold, net of related tax liability)</t>
  </si>
  <si>
    <t>Holdings of equity and other participations constituting more than 10% of the share capital of other commercial entities</t>
  </si>
  <si>
    <t>Deferred tax assets not subject to the threshold deduction (net of related tax liability)</t>
  </si>
  <si>
    <t>Cash flow hedge reserve</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</si>
  <si>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</si>
  <si>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</si>
  <si>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</si>
  <si>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</si>
  <si>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</si>
  <si>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</si>
  <si>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</si>
  <si>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</si>
  <si>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</si>
  <si>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</si>
  <si>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</si>
  <si>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</si>
  <si>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</si>
  <si>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</si>
  <si>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</si>
  <si>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</si>
  <si>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</si>
  <si>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</si>
  <si>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</si>
  <si>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</si>
  <si>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</si>
  <si>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</si>
  <si>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</si>
  <si>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</si>
  <si>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</si>
  <si>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</si>
  <si>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</si>
  <si>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</si>
  <si>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issued by central governments or central banks,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</si>
  <si>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</si>
  <si>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</si>
  <si>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Total exposures subject to credit risk weighting</t>
  </si>
  <si>
    <t xml:space="preserve"> Reconcilation of balance sheet to regulatory capital</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</si>
  <si>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</si>
  <si>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</si>
  <si>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</si>
  <si>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</si>
  <si>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</si>
  <si>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</si>
  <si>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</si>
  <si>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</si>
  <si>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</si>
  <si>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</si>
  <si>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</si>
  <si>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</si>
  <si>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</si>
  <si>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</si>
  <si>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</si>
  <si>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</si>
  <si>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</si>
  <si>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</si>
  <si>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</si>
  <si>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</si>
  <si>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</si>
  <si>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</si>
  <si>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</si>
  <si>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</si>
  <si>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</si>
  <si>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</si>
  <si>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</si>
  <si>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</si>
  <si>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</si>
  <si>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</si>
  <si>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</si>
  <si>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</si>
  <si>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</si>
  <si>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</si>
  <si>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</si>
  <si>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</si>
  <si>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</si>
  <si>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Table of contents</t>
  </si>
  <si>
    <t xml:space="preserve"> Pillar 3 quarterly report</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</si>
  <si>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</si>
  <si>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</si>
  <si>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</si>
  <si>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</si>
  <si>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</si>
  <si>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</si>
  <si>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</si>
  <si>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</si>
  <si>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</si>
  <si>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</si>
  <si>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</si>
  <si>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</si>
  <si>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</si>
  <si>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</si>
  <si>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</si>
  <si>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</si>
  <si>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</si>
  <si>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</si>
  <si>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</si>
  <si>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</si>
  <si>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</si>
  <si>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</si>
  <si>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</si>
  <si>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</si>
  <si>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</si>
  <si>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</si>
  <si>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</si>
  <si>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</si>
  <si>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</si>
  <si>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</si>
  <si>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</si>
  <si>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</si>
  <si>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</si>
  <si>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</si>
  <si>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</si>
  <si>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</si>
  <si>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</si>
  <si>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</si>
  <si>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</si>
  <si>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</si>
  <si>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</si>
  <si>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</si>
  <si>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</si>
  <si>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</si>
  <si>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Liquidity Coverage Ratio***</t>
  </si>
  <si>
    <t>1.1</t>
  </si>
  <si>
    <t>1.2</t>
  </si>
  <si>
    <t>1.3</t>
  </si>
  <si>
    <t>2</t>
  </si>
  <si>
    <t>2.1</t>
  </si>
  <si>
    <t>2.2</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</si>
  <si>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</si>
  <si>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</si>
  <si>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</si>
  <si>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</si>
  <si>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</si>
  <si>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</si>
  <si>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</si>
  <si>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</si>
  <si>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</si>
  <si>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</si>
  <si>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</si>
  <si>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</si>
  <si>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</si>
  <si>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CET1</t>
  </si>
  <si>
    <t>Total regulatory Capital</t>
  </si>
  <si>
    <t>9.1</t>
  </si>
  <si>
    <t>CET1 Pillar 2 Requirement</t>
  </si>
  <si>
    <t>Tier 1 Pillar2 Requirement</t>
  </si>
  <si>
    <t>Regulatory capital Pillar 2 Requirement</t>
  </si>
  <si>
    <t>Other contractual funding obligations</t>
  </si>
  <si>
    <t>Other contingent funding obligations</t>
  </si>
  <si>
    <t>Inflows from fully performing exposures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</si>
  <si>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</si>
  <si>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</si>
  <si>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</si>
  <si>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</si>
  <si>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</si>
  <si>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</si>
  <si>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</si>
  <si>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</si>
  <si>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</si>
  <si>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</si>
  <si>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</si>
  <si>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</si>
  <si>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</si>
  <si>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</si>
  <si>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</si>
  <si>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</si>
  <si>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</si>
  <si>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</si>
  <si>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</si>
  <si>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</si>
  <si>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</si>
  <si>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</si>
  <si>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</si>
  <si>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</si>
  <si>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</si>
  <si>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</si>
  <si>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</si>
  <si>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</si>
  <si>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</si>
  <si>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</si>
  <si>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</si>
  <si>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</si>
  <si>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</si>
  <si>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</si>
  <si>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</si>
  <si>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</si>
  <si>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</si>
  <si>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</si>
  <si>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</si>
  <si>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</si>
  <si>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</si>
  <si>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</si>
  <si>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</si>
  <si>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</si>
  <si>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</si>
  <si>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</si>
  <si>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</si>
  <si>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</si>
  <si>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</si>
  <si>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</si>
  <si>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</si>
  <si>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</si>
  <si>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</si>
  <si>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</si>
  <si>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</si>
  <si>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</si>
  <si>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</si>
  <si>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</si>
  <si>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</si>
  <si>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</si>
  <si>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</si>
  <si>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</si>
  <si>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</si>
  <si>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</si>
  <si>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</si>
  <si>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</si>
  <si>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</si>
  <si>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</si>
  <si>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</si>
  <si>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</si>
  <si>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</si>
  <si>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</si>
  <si>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</si>
  <si>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</si>
  <si>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</si>
  <si>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</si>
  <si>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</si>
  <si>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</si>
  <si>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</si>
  <si>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</si>
  <si>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</si>
  <si>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</si>
  <si>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</si>
  <si>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</si>
  <si>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</si>
  <si>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</si>
  <si>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</si>
  <si>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</si>
  <si>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</si>
  <si>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</si>
  <si>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</si>
  <si>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</si>
  <si>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</si>
  <si>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</si>
  <si>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</si>
  <si>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</si>
  <si>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</si>
  <si>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</si>
  <si>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</si>
  <si>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</si>
  <si>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</si>
  <si>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</si>
  <si>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</si>
  <si>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</si>
  <si>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</si>
  <si>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</si>
  <si>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</si>
  <si>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</si>
  <si>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</si>
  <si>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</si>
  <si>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</si>
  <si>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</si>
  <si>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</si>
  <si>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</si>
  <si>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</si>
  <si>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</si>
  <si>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</si>
  <si>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</si>
  <si>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</si>
  <si>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</si>
  <si>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</si>
  <si>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</si>
  <si>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</si>
  <si>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</si>
  <si>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</si>
  <si>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</si>
  <si>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</si>
  <si>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</si>
  <si>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</si>
  <si>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</si>
  <si>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</si>
  <si>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</si>
  <si>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</si>
  <si>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</si>
  <si>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</si>
  <si>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</si>
  <si>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</si>
  <si>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</si>
  <si>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</si>
  <si>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</si>
  <si>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</si>
  <si>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</si>
  <si>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</si>
  <si>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</si>
  <si>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</si>
  <si>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</si>
  <si>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</si>
  <si>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</si>
  <si>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</si>
  <si>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</si>
  <si>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</si>
  <si>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</si>
  <si>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</si>
  <si>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</si>
  <si>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</si>
  <si>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</si>
  <si>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</si>
  <si>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</si>
  <si>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</si>
  <si>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</si>
  <si>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</si>
  <si>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</si>
  <si>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</si>
  <si>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</si>
  <si>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</si>
  <si>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</si>
  <si>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</si>
  <si>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</si>
  <si>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</si>
  <si>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</si>
  <si>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</si>
  <si>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</si>
  <si>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</si>
  <si>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Table 24</t>
  </si>
  <si>
    <t>Gross carrying value</t>
  </si>
  <si>
    <t>Table 25</t>
  </si>
  <si>
    <t>Secured by deposit</t>
  </si>
  <si>
    <t>Secured by the state and state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</si>
  <si>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</si>
  <si>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</si>
  <si>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</si>
  <si>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</si>
  <si>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</si>
  <si>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</si>
  <si>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</si>
  <si>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</si>
  <si>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</si>
  <si>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</si>
  <si>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</si>
  <si>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</si>
  <si>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</si>
  <si>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</si>
  <si>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</si>
  <si>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</si>
  <si>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</si>
  <si>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</si>
  <si>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</si>
  <si>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</si>
  <si>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</si>
  <si>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</si>
  <si>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</si>
  <si>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</si>
  <si>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</si>
  <si>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</si>
  <si>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</si>
  <si>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</si>
  <si>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</si>
  <si>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</si>
  <si>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</si>
  <si>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</si>
  <si>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</si>
  <si>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</si>
  <si>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</si>
  <si>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</si>
  <si>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</si>
  <si>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</si>
  <si>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</si>
  <si>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</si>
  <si>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</si>
  <si>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</si>
  <si>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</si>
  <si>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</si>
  <si>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</si>
  <si>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</si>
  <si>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</si>
  <si>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</si>
  <si>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</si>
  <si>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</si>
  <si>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</si>
  <si>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</si>
  <si>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</si>
  <si>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</si>
  <si>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</si>
  <si>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</si>
  <si>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</si>
  <si>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</si>
  <si>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</si>
  <si>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</si>
  <si>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</si>
  <si>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</si>
  <si>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</si>
  <si>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</si>
  <si>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</si>
  <si>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</si>
  <si>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</si>
  <si>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</si>
  <si>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</si>
  <si>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</si>
  <si>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</si>
  <si>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</si>
  <si>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</si>
  <si>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</si>
  <si>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</si>
  <si>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</si>
  <si>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</si>
  <si>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</si>
  <si>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</si>
  <si>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</si>
  <si>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</si>
  <si>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</si>
  <si>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</si>
  <si>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</si>
  <si>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</si>
  <si>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</si>
  <si>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</si>
  <si>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</si>
  <si>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</si>
  <si>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</si>
  <si>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</si>
  <si>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</si>
  <si>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</si>
  <si>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</si>
  <si>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</si>
  <si>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</si>
  <si>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</si>
  <si>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</si>
  <si>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</si>
  <si>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</si>
  <si>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</si>
  <si>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</si>
  <si>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</si>
  <si>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</si>
  <si>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</si>
  <si>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</si>
  <si>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</si>
  <si>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</si>
  <si>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</si>
  <si>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</si>
  <si>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</si>
  <si>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</si>
  <si>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</si>
  <si>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</si>
  <si>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</si>
  <si>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</si>
  <si>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</si>
  <si>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</si>
  <si>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</si>
  <si>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</si>
  <si>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</si>
  <si>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</si>
  <si>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</si>
  <si>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</si>
  <si>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</si>
  <si>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</si>
  <si>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</si>
  <si>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</si>
  <si>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</si>
  <si>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</si>
  <si>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</si>
  <si>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</si>
  <si>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</si>
  <si>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</si>
  <si>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</si>
  <si>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</si>
  <si>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</si>
  <si>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</si>
  <si>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</si>
  <si>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</si>
  <si>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</si>
  <si>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</si>
  <si>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</si>
  <si>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</si>
  <si>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</si>
  <si>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</si>
  <si>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</si>
  <si>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</si>
  <si>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</si>
  <si>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</si>
  <si>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</si>
  <si>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</si>
  <si>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</si>
  <si>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</si>
  <si>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</si>
  <si>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</si>
  <si>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</si>
  <si>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</si>
  <si>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</si>
  <si>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</si>
  <si>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</si>
  <si>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</si>
  <si>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</si>
  <si>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</si>
  <si>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</si>
  <si>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</si>
  <si>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</si>
  <si>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</si>
  <si>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</si>
  <si>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</si>
  <si>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</si>
  <si>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</si>
  <si>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</si>
  <si>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</si>
  <si>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</si>
  <si>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</si>
  <si>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</si>
  <si>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</si>
  <si>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</si>
  <si>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</si>
  <si>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</si>
  <si>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</si>
  <si>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</si>
  <si>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</si>
  <si>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</si>
  <si>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</si>
  <si>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</si>
  <si>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</si>
  <si>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</si>
  <si>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</si>
  <si>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</si>
  <si>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</si>
  <si>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</si>
  <si>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</si>
  <si>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</si>
  <si>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</si>
  <si>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</si>
  <si>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</si>
  <si>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</si>
  <si>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Ordinary share</t>
  </si>
  <si>
    <t xml:space="preserve">Based on Basel III framework </t>
  </si>
  <si>
    <t>Credit Valuation Adjustment</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</si>
  <si>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</si>
  <si>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</si>
  <si>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</si>
  <si>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</si>
  <si>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</si>
  <si>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</si>
  <si>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</si>
  <si>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</si>
  <si>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</si>
  <si>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</si>
  <si>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</si>
  <si>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</si>
  <si>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</si>
  <si>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</si>
  <si>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</si>
  <si>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</si>
  <si>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</si>
  <si>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</si>
  <si>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</si>
  <si>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</si>
  <si>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</si>
  <si>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</si>
  <si>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</si>
  <si>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</si>
  <si>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</si>
  <si>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</si>
  <si>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</si>
  <si>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</si>
  <si>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</si>
  <si>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</si>
  <si>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</si>
  <si>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 xml:space="preserve">MicroBank's web page </t>
  </si>
  <si>
    <t xml:space="preserve">Senior management of the Microbank ensures fair presentation and accuracy of the information provided within Pillar 3 disclosure report. The report is prepared in accordance with internal review and control processes coordinated with the board. The report meets the requirements of the decree N110/04 of the Governor of the National Bank of Georgia on “Disclosure requirements for Microbanks within Pillar 3” and other relevant decrees and regulations of NBG. </t>
  </si>
  <si>
    <t>*** LCR calculated according to NBG's methodology which is more focused on local risks than Basel framework. See the table 14. LCR;  Microbanks are required to comply with the limits by coefficients calculated according to NBG's methodology. The numbers calculated within Basel framework are given for illustratory purposes.</t>
  </si>
  <si>
    <t>List of Microbank beneficiaries indicating names of direct or indirect holders of 5% or more of shares</t>
  </si>
  <si>
    <t>Guarantees received as security for liabilities of the microbank</t>
  </si>
  <si>
    <t>Guaratees received as security for receivables of the microbank</t>
  </si>
  <si>
    <t>Financial assets of the microbank</t>
  </si>
  <si>
    <t>Non-financial assets of the microbank</t>
  </si>
  <si>
    <t>Microbank:</t>
  </si>
  <si>
    <t xml:space="preserve">Name of a microbank </t>
  </si>
  <si>
    <t>CEO of a microbank</t>
  </si>
  <si>
    <t>Reciprocal cross holdings in the capital of microbanks, commercial banks, insurance entities and other financial institutions</t>
  </si>
  <si>
    <t>Significant investments in the common equity tier 1 capital (that are not common shares) of microbanks, commercial banks, insurance entities and other financial institutions that are outside the scope of regulatory consolidation</t>
  </si>
  <si>
    <t>Significant investments in the Additional Tier 1 capital (that are not common shares) of microbanks, commercial banks, insurance entities and other financial institutions</t>
  </si>
  <si>
    <t>Significant investments in the Tier 2 capital (that are not common shares) of microbanks, commercial banks, insurance entities and other financial institutions</t>
  </si>
  <si>
    <t>Claims or contingent claims on commercial banks and microbanks</t>
  </si>
  <si>
    <t>* Microbanks are required to comply with the limits by coefficients calculated according to NBG's methodology. The numbers calculated within Basel framework are given for illustratory purposes.</t>
  </si>
  <si>
    <t>Secured by microbank, bank and /or financial institutions</t>
  </si>
  <si>
    <t>Loans secured by microbank, bank and /or financial institutions</t>
  </si>
  <si>
    <t xml:space="preserve">Cash balances with other banks </t>
  </si>
  <si>
    <t>Supervisory Alfa Factor (α)</t>
  </si>
  <si>
    <r>
      <t xml:space="preserve">Replacement cost associated with </t>
    </r>
    <r>
      <rPr>
        <i/>
        <sz val="10"/>
        <rFont val="Arial"/>
        <family val="2"/>
      </rPr>
      <t>all</t>
    </r>
    <r>
      <rPr>
        <sz val="10"/>
        <rFont val="Arial"/>
        <family val="2"/>
      </rPr>
      <t xml:space="preserve"> derivatives transactions </t>
    </r>
  </si>
  <si>
    <r>
      <t xml:space="preserve">Potential Future Exposure associated with </t>
    </r>
    <r>
      <rPr>
        <i/>
        <sz val="10"/>
        <rFont val="Arial"/>
        <family val="2"/>
      </rPr>
      <t xml:space="preserve">all </t>
    </r>
    <r>
      <rPr>
        <sz val="10"/>
        <rFont val="Arial"/>
        <family val="2"/>
      </rPr>
      <t>derivatives transactions</t>
    </r>
  </si>
  <si>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</si>
  <si>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</si>
  <si>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</si>
  <si>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Crystal</t>
  </si>
  <si>
    <t>Archil Bakuradze</t>
  </si>
  <si>
    <t>Ilia Revia</t>
  </si>
  <si>
    <t>https://crystal.ge/</t>
  </si>
  <si>
    <r>
      <t>1</t>
    </r>
    <r>
      <rPr>
        <vertAlign val="superscript"/>
        <sz val="10"/>
        <rFont val="Arial"/>
        <family val="2"/>
      </rPr>
      <t>st</t>
    </r>
    <r>
      <rPr>
        <sz val="10"/>
        <rFont val="Arial"/>
        <family val="2"/>
      </rPr>
      <t xml:space="preserve"> stage</t>
    </r>
  </si>
  <si>
    <r>
      <t>2</t>
    </r>
    <r>
      <rPr>
        <vertAlign val="superscript"/>
        <sz val="10"/>
        <rFont val="Arial"/>
        <family val="2"/>
      </rPr>
      <t>nd</t>
    </r>
    <r>
      <rPr>
        <sz val="10"/>
        <rFont val="Arial"/>
        <family val="2"/>
      </rPr>
      <t xml:space="preserve"> stage</t>
    </r>
  </si>
  <si>
    <r>
      <t>3</t>
    </r>
    <r>
      <rPr>
        <vertAlign val="superscript"/>
        <sz val="10"/>
        <rFont val="Arial"/>
        <family val="2"/>
      </rPr>
      <t>rd</t>
    </r>
    <r>
      <rPr>
        <sz val="10"/>
        <rFont val="Arial"/>
        <family val="2"/>
      </rPr>
      <t xml:space="preserve"> stage</t>
    </r>
  </si>
  <si>
    <t>agRIF Cooperatief U.A (Netherlands)</t>
  </si>
  <si>
    <t>DWM Funds SCA SICAV SIF (Luxembourg)</t>
  </si>
  <si>
    <t>DWM Funds S.a.r.l. (Luxembourg)</t>
  </si>
  <si>
    <t>Developing World Finance, LLC (USA)</t>
  </si>
  <si>
    <t>DWM Holdings, LLC (USA)</t>
  </si>
  <si>
    <t>agRIF Feeder BV (Netherlands) reg# 855273975</t>
  </si>
  <si>
    <t>Nederlandse Financierings-Maatschappij voor Ontwikkelingslanden N.V. (FMO) (Netherlands)</t>
  </si>
  <si>
    <t>European Investment Bank (EIB)</t>
  </si>
  <si>
    <t>Societe De Promotion Et De Participation Pour La Cooperation Economique (PROPARCO) SA (France)</t>
  </si>
  <si>
    <t>Agence Française de Développement (AFD) (France)</t>
  </si>
  <si>
    <t>AXA Impact Fund II (Ireland)</t>
  </si>
  <si>
    <t>Axa Investment Managers UK Limitied (UK)</t>
  </si>
  <si>
    <t>AXA Investment Managers UK Holdings Limited (UK)</t>
  </si>
  <si>
    <t>AXA Investment Managers S.A. (France)</t>
  </si>
  <si>
    <t>AXA  S.A (France)</t>
  </si>
  <si>
    <t>Peter Johnson (USA)</t>
  </si>
  <si>
    <t>Independent member</t>
  </si>
  <si>
    <t>Non-independent member</t>
  </si>
  <si>
    <t>General Director</t>
  </si>
  <si>
    <t>Commercial Director</t>
  </si>
  <si>
    <t>Leasing Director</t>
  </si>
  <si>
    <t>Risk Director</t>
  </si>
  <si>
    <t>Robert Scott  Kossmann</t>
  </si>
  <si>
    <t>Jan Dewijngaert</t>
  </si>
  <si>
    <t>Lilit Garayan</t>
  </si>
  <si>
    <t>Giorgi Megeneishvili</t>
  </si>
  <si>
    <t>Davit Bendeliani</t>
  </si>
  <si>
    <t>Melania Kuchukhidze</t>
  </si>
  <si>
    <t>Nino Panjikidze</t>
  </si>
  <si>
    <t>Kakha Gabeskiria</t>
  </si>
  <si>
    <t>Malkhaz Dzadzua</t>
  </si>
  <si>
    <t>Financial Director</t>
  </si>
  <si>
    <t>Operations Director</t>
  </si>
  <si>
    <t>Table 9 (Capital), N17</t>
  </si>
  <si>
    <t>Table 9 (Capital), N10</t>
  </si>
  <si>
    <t>Table 9 (Capital), N38</t>
  </si>
  <si>
    <t>Table 9 (Capital), N2</t>
  </si>
  <si>
    <t>Table 9 (Capital), N3</t>
  </si>
  <si>
    <t>Table 9 (Capital), N6</t>
  </si>
  <si>
    <t>Agrif Cooperatief U.A.</t>
  </si>
  <si>
    <t>DWM Funds S.C.A.-SICAF-SIF</t>
  </si>
  <si>
    <t>David Bendeliani</t>
  </si>
  <si>
    <t>Alu Gamakharia</t>
  </si>
  <si>
    <t>Paata Tsotsonava</t>
  </si>
  <si>
    <t>Keith Young</t>
  </si>
  <si>
    <t>Vakhtang Bakuradze</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</si>
  <si>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</si>
  <si>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</si>
  <si>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TOTAL EQUITY*</t>
  </si>
  <si>
    <t xml:space="preserve">*Share capital as defined by the Law on Microbank Activities </t>
  </si>
  <si>
    <t>Independent chair</t>
  </si>
  <si>
    <t>კოეფიციენტი</t>
  </si>
  <si>
    <t>თანხა (ლარი)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</si>
</sst>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quot;£&quot;#,##0;[Red]\-&quot;£&quot;#,##0"/>
    <numFmt numFmtId="193" formatCode="&quot;£&quot;#,##0.00;[Red]\-&quot;£&quot;#,##0.00"/>
    <numFmt numFmtId="194" formatCode="_-&quot;£&quot;* #,##0_-;\-&quot;£&quot;* #,##0_-;_-&quot;£&quot;* &quot;-&quot;_-;_-@_-"/>
    <numFmt numFmtId="195" formatCode="_-* #,##0_-;\-* #,##0_-;_-* &quot;-&quot;_-;_-@_-"/>
    <numFmt numFmtId="196" formatCode="_-&quot;£&quot;* #,##0.00_-;\-&quot;£&quot;* #,##0.00_-;_-&quot;£&quot;* &quot;-&quot;??_-;_-@_-"/>
    <numFmt numFmtId="197" formatCode="_-* #,##0\ &quot;€&quot;_-;\-* #,##0\ &quot;€&quot;_-;_-* &quot;-&quot;\ &quot;€&quot;_-;_-@_-"/>
    <numFmt numFmtId="198" formatCode="_-* #,##0\ _€_-;\-* #,##0\ _€_-;_-* &quot;-&quot;\ _€_-;_-@_-"/>
    <numFmt numFmtId="199" formatCode="_-* #,##0.00\ &quot;€&quot;_-;\-* #,##0.00\ &quot;€&quot;_-;_-* &quot;-&quot;??\ &quot;€&quot;_-;_-@_-"/>
    <numFmt numFmtId="200" formatCode="_-* #,##0.00\ _€_-;\-* #,##0.00\ _€_-;_-* &quot;-&quot;??\ _€_-;_-@_-"/>
    <numFmt numFmtId="201" formatCode="&quot;$&quot;#,##0;\(&quot;$&quot;#,##0\)"/>
    <numFmt numFmtId="202" formatCode="&quot;$&quot;#,##0.0_);\(&quot;$&quot;#,##0.0\)"/>
    <numFmt numFmtId="203" formatCode="&quot;$&quot;#,##0.000_);\(&quot;$&quot;#,##0.000\)"/>
    <numFmt numFmtId="204" formatCode="#,##0.0\ ;\(#,##0.0\)"/>
    <numFmt numFmtId="205" formatCode="&quot;\&quot;#,##0.00;[Red]&quot;\&quot;\-#,##0.00"/>
    <numFmt numFmtId="206" formatCode="_-* #,##0\ &quot;GRD&quot;_-;\-* #,##0\ &quot;GRD&quot;_-;_-* &quot;-&quot;\ &quot;GRD&quot;_-;_-@_-"/>
    <numFmt numFmtId="207" formatCode="_-* #,##0\ _G_R_D_-;\-* #,##0\ _G_R_D_-;_-* &quot;-&quot;\ _G_R_D_-;_-@_-"/>
    <numFmt numFmtId="208" formatCode="_-* #,##0.00\ _G_R_D_-;\-* #,##0.00\ _G_R_D_-;_-* &quot;-&quot;??\ _G_R_D_-;_-@_-"/>
    <numFmt numFmtId="209" formatCode="_-* #,##0.00\ &quot;GRD&quot;_-;\-* #,##0.00\ &quot;GRD&quot;_-;_-* &quot;-&quot;??\ &quot;GRD&quot;_-;_-@_-"/>
    <numFmt numFmtId="210" formatCode="&quot;\&quot;#,##0;[Red]&quot;\&quot;\-#,##0"/>
    <numFmt numFmtId="211" formatCode="#,##0_);\(#,##0\);&quot; - &quot;_);@_)"/>
    <numFmt numFmtId="212" formatCode="0.0_)\%;\(0.0\)\%;0.0_)\%;@_)_%"/>
    <numFmt numFmtId="213" formatCode="&quot;£&quot;_(#,##0.00_);&quot;£&quot;\(#,##0.00\);&quot;£&quot;_(0.00_);@_)"/>
    <numFmt numFmtId="214" formatCode="#,##0.0_)_%;\(#,##0.0\)_%;0.0_)_%;@_)_%"/>
    <numFmt numFmtId="215" formatCode="&quot;$&quot;_(#,##0.00_);&quot;$&quot;\(#,##0.00\);&quot;$&quot;_(0.00_);@_)"/>
    <numFmt numFmtId="216" formatCode="#,##0.0_);\(#,##0.0\);#,##0.0_);@_)"/>
    <numFmt numFmtId="217" formatCode="0.000000"/>
    <numFmt numFmtId="218" formatCode="#,##0.00_);\(#,##0.00\);0.00_);@_)"/>
    <numFmt numFmtId="219" formatCode="&quot;£&quot;_(#,##0.00_);&quot;£&quot;\(#,##0.00\)"/>
    <numFmt numFmtId="220" formatCode="#,##0.0_);\(#,##0.0\)"/>
    <numFmt numFmtId="221" formatCode="\€_(#,##0.00_);\€\(#,##0.00\);\€_(0.00_);@_)"/>
    <numFmt numFmtId="222" formatCode="#,##0.0_)\x;\(#,##0.0\)\x"/>
    <numFmt numFmtId="223" formatCode="&quot;$&quot;_(#,##0.00_);&quot;$&quot;\(#,##0.00\)"/>
    <numFmt numFmtId="224" formatCode="#,##0_)\x;\(#,##0\)\x;0_)\x;@_)_x"/>
    <numFmt numFmtId="225" formatCode="#,##0.0_)_x;\(#,##0.0\)_x"/>
    <numFmt numFmtId="226" formatCode="#,##0_)_x;\(#,##0\)_x;0_)_x;@_)_x"/>
    <numFmt numFmtId="227" formatCode="0.0_)\%;\(0.0\)\%"/>
    <numFmt numFmtId="228" formatCode="0_)"/>
    <numFmt numFmtId="229" formatCode="#,##0.0_)_%;\(#,##0.0\)_%"/>
    <numFmt numFmtId="230" formatCode="_-[$€-2]* #,##0.00_-;\-[$€-2]* #,##0.00_-;_-[$€-2]* &quot;-&quot;??_-"/>
    <numFmt numFmtId="231" formatCode="_ &quot;DEM&quot;* #,##0.00_ ;_ &quot;DEM&quot;* \-#,##0.00_ ;_ &quot;DEM&quot;* &quot;-&quot;??_ ;_ @_ "/>
    <numFmt numFmtId="232" formatCode="#,##0.000"/>
    <numFmt numFmtId="233" formatCode="[$-409]dddd\,\ mmmm\ dd\,\ yyyy"/>
    <numFmt numFmtId="234" formatCode="0.0%;\(0.0\)%;@\ \ "/>
    <numFmt numFmtId="235" formatCode="#,##0.0;\(#,##0.0\);\-"/>
    <numFmt numFmtId="236" formatCode="#,##0.0&quot; F&quot;;\(#,##0.0&quot; F&quot;\);\-"/>
    <numFmt numFmtId="237" formatCode="0.0%;\(0.0%\);\-"/>
    <numFmt numFmtId="238" formatCode="0.00\x"/>
    <numFmt numFmtId="239" formatCode="0.0\x"/>
    <numFmt numFmtId="240" formatCode="#,##0;\(#,##0\);\-"/>
    <numFmt numFmtId="241" formatCode="#,##0&quot; MF&quot;;\(#,##0&quot; MF&quot;\);\-"/>
    <numFmt numFmtId="242" formatCode="&quot;+ &quot;0.000%;&quot;- &quot;0.000%"/>
    <numFmt numFmtId="243" formatCode="#,###"/>
    <numFmt numFmtId="244" formatCode="0&quot;A&quot;"/>
    <numFmt numFmtId="245" formatCode="#,##0;\(#,##0\)"/>
    <numFmt numFmtId="246" formatCode="[$$-C09]#,##0.00;[Red]\-[$$-C09]#,##0.00"/>
    <numFmt numFmtId="247" formatCode="#,##0_);\(#,##0\);\-_);"/>
    <numFmt numFmtId="248" formatCode="&quot;$&quot;#,##0_);[Red]\(&quot;$&quot;#,##0\);&quot;-&quot;"/>
    <numFmt numFmtId="249" formatCode="0.0_)"/>
    <numFmt numFmtId="250" formatCode="0.00000000"/>
    <numFmt numFmtId="251" formatCode="#,##0_);\(#,##0\);\-_)"/>
    <numFmt numFmtId="252" formatCode="_-* #,##0.00\ _F_-;\-* #,##0.00\ _F_-;_-* &quot;-&quot;??\ _F_-;_-@_-"/>
    <numFmt numFmtId="253" formatCode="\ \ \ \ @"/>
    <numFmt numFmtId="254" formatCode="\ \ \ \ \ \ \ \ @"/>
    <numFmt numFmtId="255" formatCode="\ \ \ \ \ \ \ \ \ \ @"/>
    <numFmt numFmtId="256" formatCode="\ \ \ \ \ \ \ @"/>
    <numFmt numFmtId="257" formatCode="0.00%&quot;-12.99%&quot;"/>
    <numFmt numFmtId="258" formatCode="&quot;Asia&quot;;;"/>
    <numFmt numFmtId="259" formatCode="0.0"/>
    <numFmt numFmtId="260" formatCode="\$#,##0_);[Red]\(\$#,##0\)"/>
    <numFmt numFmtId="261" formatCode="#,##0_%_);\(#,##0\)_%;#,##0_%_);@_%_)"/>
    <numFmt numFmtId="262" formatCode="#,##0_%_);\(#,##0\)_%;**;@_%_)"/>
    <numFmt numFmtId="263" formatCode="#,##0.00_%_);\(#,##0.00\)_%;#,##0.00_%_);@_%_)"/>
    <numFmt numFmtId="264" formatCode="\£#,##0_);[Red]\(\£#,##0\)"/>
    <numFmt numFmtId="265" formatCode="&quot;$&quot;#,##0_%_);\(&quot;$&quot;#,##0\)_%;&quot;$&quot;#,##0_%_);@_%_)"/>
    <numFmt numFmtId="266" formatCode="&quot;$&quot;#,##0.00_%_);\(&quot;$&quot;#,##0.00\)_%;&quot;$&quot;#,##0.00_%_);@_%_)"/>
    <numFmt numFmtId="267" formatCode="#,##0;\(#,##0\);\-\ "/>
    <numFmt numFmtId="268" formatCode="0.00&quot;%&quot;"/>
    <numFmt numFmtId="269" formatCode="0&quot;%&quot;"/>
    <numFmt numFmtId="270" formatCode="#,##0_);\(#,##0\);@_)"/>
    <numFmt numFmtId="271" formatCode="[$-409]mmm/yy;@"/>
    <numFmt numFmtId="272" formatCode="m/d/yy_%_)"/>
    <numFmt numFmtId="273" formatCode="dd/mm/yyyy;dd/mm/yyyy;&quot;&quot;;@"/>
    <numFmt numFmtId="274" formatCode="0.0000%;[Red]0.0000%;\-"/>
    <numFmt numFmtId="275" formatCode="#,##0&quot;?&quot;_);[Red]\(#,##0&quot;?&quot;\)"/>
    <numFmt numFmtId="276" formatCode="0_%_);\(0\)_%;0_%_);@_%_)"/>
    <numFmt numFmtId="277" formatCode="0.00_);[Red]\(0.00\)"/>
    <numFmt numFmtId="278" formatCode="0.0000000"/>
    <numFmt numFmtId="279" formatCode="mm/dd/yyyy"/>
    <numFmt numFmtId="280" formatCode="_-* #,##0.00\ [$€]_-;\-* #,##0.00\ [$€]_-;_-* &quot;-&quot;??\ [$€]_-;_-@_-"/>
    <numFmt numFmtId="281" formatCode="_([$€]* #,##0.00_);_([$€]* \(#,##0.00\);_([$€]* &quot;-&quot;??_);_(@_)"/>
    <numFmt numFmtId="282" formatCode="_-* #,##0.00\ [$€-1]_-;\-* #,##0.00\ [$€-1]_-;_-* &quot;-&quot;??\ [$€-1]_-"/>
    <numFmt numFmtId="283" formatCode="0&quot;E&quot;"/>
    <numFmt numFmtId="284" formatCode="_(* #,##0.0_%_);_(* \(#,##0.0_%\);_(* &quot; - &quot;_%_);_(@_)"/>
    <numFmt numFmtId="285" formatCode="_(\ #,##0.0_%_);_(\ \(#,##0.0_%\);_(\ &quot; - &quot;_%_);_(@_)"/>
    <numFmt numFmtId="286" formatCode="_(* #,##0.0%_);_(* \(#,##0.0%\);_(* &quot; - &quot;\%_);_(@_)"/>
    <numFmt numFmtId="287" formatCode="_(\ #,##0.0%_);_(\ \(#,##0.0%\);_(\ &quot; - &quot;\%_);_(@_)"/>
    <numFmt numFmtId="288" formatCode="_(* #,###,_);_(* \(#,###,\);_(* &quot; - &quot;_);_(@_)"/>
    <numFmt numFmtId="289" formatCode="_(* #,##0_);_(* \(#,##0\);_(* &quot; - &quot;_);_(@_)"/>
    <numFmt numFmtId="290" formatCode="_(* #,##0.0_);_(* \(#,##0.0\);_(* &quot; - &quot;_);_(@_)"/>
    <numFmt numFmtId="291" formatCode="\ #,##0.0_);\(#,##0.0\);&quot; - &quot;_);@_)"/>
    <numFmt numFmtId="292" formatCode="_(* #,##0.00_);_(* \(#,##0.00\);_(* &quot; - &quot;_);_(@_)"/>
    <numFmt numFmtId="293" formatCode="\ #,##0.00_);\(#,##0.00\);&quot; - &quot;_);@_)"/>
    <numFmt numFmtId="294" formatCode="_(* #,##0.000_);_(* \(#,##0.000\);_(* &quot; - &quot;_);_(@_)"/>
    <numFmt numFmtId="295" formatCode="\ #,##0.000_);\(#,##0.000\);&quot; - &quot;_);@_)"/>
    <numFmt numFmtId="296" formatCode="#,##0;\(#,##0\);&quot;-&quot;"/>
    <numFmt numFmtId="297" formatCode="d\ mmmm\ yyyy"/>
    <numFmt numFmtId="298" formatCode="#,##0;[Red]\(#,##0\);0"/>
    <numFmt numFmtId="299" formatCode="#,##0.0;\(#,##0.0\)"/>
    <numFmt numFmtId="300" formatCode="#,#00"/>
    <numFmt numFmtId="301" formatCode="0.00000000000%"/>
    <numFmt numFmtId="302" formatCode="dd\-mmm\-yy\ hh:mm:ss"/>
    <numFmt numFmtId="303" formatCode="0.0000"/>
    <numFmt numFmtId="304" formatCode="[Red]&quot;stale hdle&quot;;[Red]\-0;[Red]&quot;stale hdle&quot;"/>
    <numFmt numFmtId="305" formatCode="0.0\%_);\(0.0\%\);0.0\%_);@_%_)"/>
    <numFmt numFmtId="306" formatCode="[Magenta]General"/>
    <numFmt numFmtId="307" formatCode="[Magenta]#,##0;[Magenta]\(#,##0\)"/>
    <numFmt numFmtId="308" formatCode="_-* #,##0.00000_-;\-* #,##0.00000_-;_-* &quot;-&quot;???_-;_-@_-"/>
    <numFmt numFmtId="309" formatCode="#,##0_);\(#,##0\);&quot;-&quot;_);@_)"/>
    <numFmt numFmtId="310" formatCode="yyyy\-mm\-dd;@"/>
    <numFmt numFmtId="311" formatCode="#,##0.000;\(#,##0.000\)"/>
    <numFmt numFmtId="312" formatCode="dd\ mmm\ yy"/>
    <numFmt numFmtId="313" formatCode="_(* 0_);_(* \-0_);_(* 0_);@"/>
    <numFmt numFmtId="314" formatCode="_-* #,##0.00_-;_-* #,##0.00\-;_-* &quot;-&quot;??_-;_-@_-"/>
    <numFmt numFmtId="315" formatCode="_(* #,##0_);_(* \-#,##0_);_(* #,##0_);@"/>
    <numFmt numFmtId="316" formatCode="_-* #,##0.00\ _F_-;[Red]\(#,##0.00\)\ _F_-;_-* &quot;-&quot;??\ _F_-;_-@_-"/>
    <numFmt numFmtId="317" formatCode="[Blue]General"/>
    <numFmt numFmtId="318" formatCode="#,##0_)&quot;m&quot;;\(#,##0\)&quot;m&quot;;\-_)&quot;m&quot;"/>
    <numFmt numFmtId="319" formatCode="#,##0.00\ &quot;Kč&quot;;[Red]\-#,##0.00\ &quot;Kč&quot;"/>
    <numFmt numFmtId="320" formatCode="_-* #,##0.00\ &quot;£&quot;_-;\-* #,##0.00\ &quot;£&quot;_-;_-* &quot;-&quot;??\ &quot;£&quot;_-;_-@_-"/>
    <numFmt numFmtId="321" formatCode="0.000000%"/>
    <numFmt numFmtId="322" formatCode="0.0\x;\(0.0\)\x"/>
    <numFmt numFmtId="323" formatCode="0.0\x_);\(0.0\)\x;@_)"/>
    <numFmt numFmtId="324" formatCode="0.00\x_);\(0.00\)\x;@_)"/>
    <numFmt numFmtId="325" formatCode="0.0\x;&quot;nm&quot;;@_)"/>
    <numFmt numFmtId="326" formatCode="_-* #,##0.0000_-;\-* #,##0.0000_-;_-* &quot;-&quot;????_-;_-@_-"/>
    <numFmt numFmtId="327" formatCode="[$$-409]#,##0_ ;[Red]\-[$$-409]#,##0\ "/>
    <numFmt numFmtId="328" formatCode="#,##0.00000;[Red]\-#,##0.00000"/>
    <numFmt numFmtId="329" formatCode="#,##0;[Red]\(#,##0\)"/>
    <numFmt numFmtId="330" formatCode="0.0000%"/>
    <numFmt numFmtId="331" formatCode="#,##0_)&quot;p&quot;;\(#,##0\)&quot;p&quot;;\-_)&quot;p&quot;"/>
    <numFmt numFmtId="332" formatCode="#,##0.00;\(#,##0.00\);\-"/>
    <numFmt numFmtId="333" formatCode="dd/mm/yy;@"/>
    <numFmt numFmtId="334" formatCode="#,##0.0\%_);\(#,##0.0\%\);#,##0.0\%_);@_)"/>
    <numFmt numFmtId="335" formatCode="#.##000"/>
    <numFmt numFmtId="336" formatCode="0.0&quot;x&quot;;@_)"/>
    <numFmt numFmtId="337" formatCode="mm/dd/yy"/>
    <numFmt numFmtId="338" formatCode="#\ ###\ ###\ ##0\ "/>
    <numFmt numFmtId="339" formatCode="0.00;[Red]0.00"/>
    <numFmt numFmtId="340" formatCode="\+0.00%;\-0.00%"/>
    <numFmt numFmtId="341" formatCode="\+#,##0;\-#,##0"/>
    <numFmt numFmtId="342" formatCode="_ * #,##0_ ;_ * \-#,##0_ ;_ * &quot;-&quot;_ ;_ @_ "/>
    <numFmt numFmtId="343" formatCode="_ * #,##0_ ;_ * \-#,##0_ ;_ * &quot;-&quot;??_ ;_ @_ "/>
    <numFmt numFmtId="344" formatCode="\g\ \=\ 0.0%;\g\ \=\ \-0.0%"/>
    <numFmt numFmtId="345" formatCode="#,###,;\(#,###,\)"/>
    <numFmt numFmtId="346" formatCode="&quot;Yes&quot;;[Red]&quot;No&quot;"/>
    <numFmt numFmtId="347" formatCode="[&gt;0]General"/>
    <numFmt numFmtId="348" formatCode="0.0\x\ "/>
    <numFmt numFmtId="349" formatCode="0\ \d\a\y"/>
    <numFmt numFmtId="350" formatCode="#,"/>
    <numFmt numFmtId="351" formatCode="#,##0.00;[Red]#,##0.00"/>
    <numFmt numFmtId="352" formatCode="_-&quot;L.&quot;\ * #,##0_-;\-&quot;L.&quot;\ * #,##0_-;_-&quot;L.&quot;\ * &quot;-&quot;_-;_-@_-"/>
    <numFmt numFmtId="353" formatCode="_-&quot;F&quot;\ * #,##0.00_-;_-&quot;F&quot;\ * #,##0.00\-;_-&quot;F&quot;\ * &quot;-&quot;??_-;_-@_-"/>
    <numFmt numFmtId="354" formatCode="\$#,#00"/>
    <numFmt numFmtId="355" formatCode="_-* #,##0.00\ _L_E_I_-;\-* #,##0.00\ _L_E_I_-;_-* &quot;-&quot;??\ _L_E_I_-;_-@_-"/>
    <numFmt numFmtId="356" formatCode="0.00_)"/>
    <numFmt numFmtId="357" formatCode="0\ \ ;\(0\)\ \ \ "/>
    <numFmt numFmtId="358" formatCode="_-* #,##0_-;\-* #,##0_-;_-* &quot;-&quot;??_-;_-@_-"/>
    <numFmt numFmtId="359" formatCode="#,##0.0"/>
  </numFmts>
  <fonts count="35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color theme="1"/>
      <name val="Sylfaen"/>
      <family val="1"/>
    </font>
    <font>
      <b/>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i/>
      <sz val="10"/>
      <color theme="1"/>
      <name val="Sylfaen"/>
      <family val="1"/>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9"/>
      <color indexed="81"/>
      <name val="Tahoma"/>
      <family val="2"/>
    </font>
    <font>
      <sz val="9"/>
      <color indexed="81"/>
      <name val="Tahoma"/>
      <family val="2"/>
    </font>
    <font>
      <sz val="11"/>
      <name val="Arial"/>
      <family val="2"/>
    </font>
    <font>
      <b/>
      <i/>
      <sz val="11"/>
      <name val="Arial"/>
      <family val="2"/>
    </font>
    <font>
      <i/>
      <sz val="11"/>
      <name val="Arial"/>
      <family val="2"/>
    </font>
    <font>
      <u/>
      <sz val="11"/>
      <name val="Arial"/>
      <family val="2"/>
    </font>
    <font>
      <sz val="9"/>
      <color theme="1"/>
      <name val="Arial"/>
      <family val="2"/>
    </font>
    <font>
      <b/>
      <u/>
      <sz val="9"/>
      <name val="Arial"/>
      <family val="2"/>
    </font>
    <font>
      <b/>
      <sz val="9"/>
      <color theme="1"/>
      <name val="Arial"/>
      <family val="2"/>
    </font>
    <font>
      <i/>
      <sz val="9"/>
      <name val="Arial"/>
      <family val="2"/>
    </font>
    <font>
      <b/>
      <u/>
      <sz val="9"/>
      <color theme="1"/>
      <name val="Arial"/>
      <family val="2"/>
    </font>
    <font>
      <vertAlign val="superscript"/>
      <sz val="9"/>
      <name val="Arial"/>
      <family val="2"/>
    </font>
    <font>
      <b/>
      <u/>
      <sz val="10"/>
      <name val="Arial"/>
      <family val="2"/>
    </font>
    <font>
      <vertAlign val="superscript"/>
      <sz val="10"/>
      <name val="Arial"/>
      <family val="2"/>
    </font>
    <font>
      <b/>
      <sz val="8"/>
      <color theme="1"/>
      <name val="Arial"/>
      <family val="2"/>
    </font>
    <font>
      <b/>
      <sz val="11"/>
      <color theme="1"/>
      <name val="Calibri"/>
      <family val="2"/>
      <scheme val="minor"/>
    </font>
    <font>
      <b/>
      <i/>
      <sz val="10"/>
      <color theme="1"/>
      <name val="Sylfaen"/>
      <family val="1"/>
    </font>
    <font>
      <b/>
      <i/>
      <sz val="10"/>
      <name val="Sylfaen"/>
      <family val="1"/>
    </font>
    <font>
      <b/>
      <i/>
      <sz val="11"/>
      <color theme="1"/>
      <name val="Arial"/>
      <family val="2"/>
    </font>
    <font>
      <sz val="9"/>
      <name val="Sylfaen"/>
      <family val="1"/>
    </font>
    <font>
      <b/>
      <sz val="9"/>
      <name val="Sylfaen"/>
      <family val="1"/>
    </font>
    <font>
      <sz val="9"/>
      <name val="Calibri"/>
      <family val="1"/>
      <scheme val="minor"/>
    </font>
    <font>
      <b/>
      <sz val="9"/>
      <name val="Calibri"/>
      <family val="2"/>
      <scheme val="minor"/>
    </font>
    <font>
      <sz val="11"/>
      <name val="Sylfaen"/>
      <family val="1"/>
    </font>
    <font>
      <b/>
      <sz val="11"/>
      <name val="Sylfaen"/>
      <family val="1"/>
    </font>
  </fonts>
  <fills count="14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09" fillId="0" borderId="0"/>
    <xf numFmtId="0" fontId="120" fillId="69" borderId="6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0" applyFont="0" applyBorder="0">
      <alignment horizontal="center" wrapText="1"/>
    </xf>
    <xf numFmtId="3" fontId="2" fillId="74" borderId="109"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121" fillId="0" borderId="0" applyFont="0" applyFill="0" applyBorder="0" applyAlignment="0" applyProtection="0"/>
    <xf numFmtId="8" fontId="122" fillId="0" borderId="0" applyFont="0" applyFill="0" applyBorder="0" applyAlignment="0" applyProtection="0"/>
    <xf numFmtId="8" fontId="122" fillId="0" borderId="0" applyFont="0" applyFill="0" applyBorder="0" applyAlignment="0" applyProtection="0"/>
    <xf numFmtId="201"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202" fontId="121" fillId="0" borderId="0" applyFont="0" applyFill="0" applyBorder="0" applyAlignment="0" applyProtection="0"/>
    <xf numFmtId="202" fontId="121" fillId="0" borderId="0" applyFont="0" applyFill="0" applyBorder="0" applyAlignment="0" applyProtection="0"/>
    <xf numFmtId="7" fontId="121" fillId="0" borderId="0" applyFont="0" applyFill="0" applyBorder="0" applyAlignment="0" applyProtection="0"/>
    <xf numFmtId="7" fontId="121" fillId="0" borderId="0" applyFont="0" applyFill="0" applyBorder="0" applyAlignment="0" applyProtection="0"/>
    <xf numFmtId="203" fontId="121" fillId="0" borderId="0" applyFont="0" applyFill="0" applyBorder="0" applyAlignment="0" applyProtection="0"/>
    <xf numFmtId="203"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204" fontId="104" fillId="0" borderId="0"/>
    <xf numFmtId="204" fontId="104" fillId="0" borderId="0"/>
    <xf numFmtId="204" fontId="104" fillId="0" borderId="0"/>
    <xf numFmtId="204" fontId="104" fillId="0" borderId="0"/>
    <xf numFmtId="0" fontId="104" fillId="0" borderId="0"/>
    <xf numFmtId="204" fontId="104" fillId="0" borderId="0"/>
    <xf numFmtId="5" fontId="122" fillId="0" borderId="0" applyFont="0" applyFill="0" applyBorder="0" applyAlignment="0" applyProtection="0"/>
    <xf numFmtId="5" fontId="122" fillId="0" borderId="0" applyFont="0" applyFill="0" applyBorder="0" applyAlignment="0" applyProtection="0"/>
    <xf numFmtId="201"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201" fontId="121" fillId="0" borderId="0" applyFont="0" applyFill="0" applyBorder="0" applyAlignment="0" applyProtection="0"/>
    <xf numFmtId="201" fontId="121" fillId="0" borderId="0" applyFont="0" applyFill="0" applyBorder="0" applyAlignment="0" applyProtection="0"/>
    <xf numFmtId="201" fontId="121"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10" fontId="122" fillId="0" borderId="0" applyFont="0" applyFill="0" applyBorder="0" applyAlignment="0" applyProtection="0"/>
    <xf numFmtId="10" fontId="122" fillId="0" borderId="0" applyFont="0" applyFill="0" applyBorder="0" applyAlignment="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2" fillId="0" borderId="0" applyNumberFormat="0" applyFill="0" applyBorder="0" applyAlignment="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205" fontId="126" fillId="0" borderId="0" applyFont="0" applyFill="0" applyBorder="0" applyAlignment="0" applyProtection="0"/>
    <xf numFmtId="0" fontId="19" fillId="0" borderId="0" applyFont="0" applyFill="0" applyBorder="0" applyAlignment="0" applyProtection="0"/>
    <xf numFmtId="206" fontId="127" fillId="0" borderId="0" applyFont="0" applyFill="0" applyBorder="0" applyAlignment="0" applyProtection="0"/>
    <xf numFmtId="207" fontId="127" fillId="0" borderId="0" applyFont="0" applyFill="0" applyBorder="0" applyAlignment="0" applyProtection="0"/>
    <xf numFmtId="208" fontId="127" fillId="0" borderId="0" applyFont="0" applyFill="0" applyBorder="0" applyAlignment="0" applyProtection="0"/>
    <xf numFmtId="209" fontId="127" fillId="0" borderId="0" applyFont="0" applyFill="0" applyBorder="0" applyAlignment="0" applyProtection="0"/>
    <xf numFmtId="0" fontId="127" fillId="0" borderId="0"/>
    <xf numFmtId="0" fontId="19" fillId="0" borderId="0" applyFont="0" applyFill="0" applyBorder="0" applyAlignment="0" applyProtection="0"/>
    <xf numFmtId="210" fontId="126" fillId="0" borderId="0" applyFont="0" applyFill="0" applyBorder="0" applyAlignment="0" applyProtection="0"/>
    <xf numFmtId="0" fontId="122"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1" fontId="128" fillId="0" borderId="0" applyNumberFormat="0" applyFont="0" applyAlignment="0">
      <alignment horizontal="right" vertical="top"/>
    </xf>
    <xf numFmtId="212"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0"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2" fillId="80"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131" fillId="0" borderId="0"/>
    <xf numFmtId="0" fontId="131" fillId="0" borderId="0"/>
    <xf numFmtId="0" fontId="2" fillId="0" borderId="0" applyFont="0" applyFill="0" applyBorder="0" applyAlignment="0" applyProtection="0"/>
    <xf numFmtId="0" fontId="2" fillId="80" borderId="0"/>
    <xf numFmtId="0" fontId="2" fillId="80" borderId="0"/>
    <xf numFmtId="0" fontId="2" fillId="0" borderId="0"/>
    <xf numFmtId="0" fontId="2" fillId="0" borderId="0"/>
    <xf numFmtId="0" fontId="131" fillId="0" borderId="0"/>
    <xf numFmtId="0" fontId="2" fillId="0" borderId="0"/>
    <xf numFmtId="0" fontId="2" fillId="0" borderId="0">
      <alignment horizontal="left" wrapText="1"/>
    </xf>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2" fillId="0" borderId="0"/>
    <xf numFmtId="0" fontId="132" fillId="0" borderId="0"/>
    <xf numFmtId="0" fontId="132" fillId="0" borderId="0"/>
    <xf numFmtId="0" fontId="2" fillId="0" borderId="0"/>
    <xf numFmtId="0" fontId="2" fillId="0" borderId="0">
      <alignment horizontal="left" wrapText="1"/>
    </xf>
    <xf numFmtId="216"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6" fontId="2" fillId="0" borderId="0" applyFont="0" applyFill="0" applyBorder="0" applyAlignment="0" applyProtection="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0" borderId="0"/>
    <xf numFmtId="0" fontId="2" fillId="0" borderId="0"/>
    <xf numFmtId="0" fontId="2" fillId="80" borderId="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0" fontId="2" fillId="0" borderId="0">
      <alignment horizontal="left" wrapText="1"/>
    </xf>
    <xf numFmtId="0" fontId="2" fillId="0" borderId="0">
      <alignment horizontal="left" wrapText="1"/>
    </xf>
    <xf numFmtId="0" fontId="131" fillId="0" borderId="0"/>
    <xf numFmtId="0" fontId="131" fillId="0" borderId="0"/>
    <xf numFmtId="0" fontId="131" fillId="0" borderId="0"/>
    <xf numFmtId="0" fontId="131"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2" fillId="0" borderId="0"/>
    <xf numFmtId="221"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80" borderId="0"/>
    <xf numFmtId="0" fontId="2" fillId="0" borderId="0"/>
    <xf numFmtId="0" fontId="2" fillId="0" borderId="0">
      <alignment horizontal="left" wrapText="1"/>
    </xf>
    <xf numFmtId="0" fontId="2" fillId="0" borderId="0">
      <alignment horizontal="left" wrapText="1"/>
    </xf>
    <xf numFmtId="0" fontId="131" fillId="0" borderId="0"/>
    <xf numFmtId="0" fontId="131" fillId="0" borderId="0"/>
    <xf numFmtId="0" fontId="131" fillId="0" borderId="0"/>
    <xf numFmtId="0" fontId="13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22" fillId="0" borderId="0"/>
    <xf numFmtId="0" fontId="2" fillId="80" borderId="0"/>
    <xf numFmtId="0" fontId="2" fillId="0" borderId="0"/>
    <xf numFmtId="0" fontId="2" fillId="0" borderId="0"/>
    <xf numFmtId="0" fontId="2" fillId="0" borderId="0" applyFont="0" applyFill="0" applyBorder="0" applyAlignment="0" applyProtection="0"/>
    <xf numFmtId="0" fontId="131" fillId="0" borderId="0"/>
    <xf numFmtId="0" fontId="131" fillId="0" borderId="0"/>
    <xf numFmtId="0" fontId="131" fillId="0" borderId="0"/>
    <xf numFmtId="0" fontId="13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 fillId="80" borderId="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35" fillId="84"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3" borderId="0" applyNumberFormat="0" applyFont="0" applyAlignment="0" applyProtection="0"/>
    <xf numFmtId="0" fontId="131" fillId="0" borderId="0"/>
    <xf numFmtId="0" fontId="131" fillId="0" borderId="0"/>
    <xf numFmtId="0" fontId="131" fillId="0" borderId="0"/>
    <xf numFmtId="0" fontId="13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31" fillId="0" borderId="0"/>
    <xf numFmtId="0" fontId="2" fillId="8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31"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224"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4"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6" fontId="2" fillId="0" borderId="0" applyFont="0" applyFill="0" applyBorder="0" applyProtection="0">
      <alignment horizontal="right"/>
    </xf>
    <xf numFmtId="0" fontId="2" fillId="0" borderId="0"/>
    <xf numFmtId="0" fontId="2" fillId="0" borderId="0"/>
    <xf numFmtId="0" fontId="2" fillId="0" borderId="0"/>
    <xf numFmtId="0" fontId="131" fillId="0" borderId="0"/>
    <xf numFmtId="0" fontId="131"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7"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136" fillId="0" borderId="123" applyFont="0" applyFill="0" applyBorder="0" applyProtection="0">
      <alignment horizontal="right"/>
    </xf>
    <xf numFmtId="229"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131" fillId="0" borderId="0"/>
    <xf numFmtId="0" fontId="131" fillId="0" borderId="0"/>
    <xf numFmtId="0" fontId="2" fillId="0" borderId="0"/>
    <xf numFmtId="0" fontId="131" fillId="0" borderId="0"/>
    <xf numFmtId="0" fontId="131" fillId="0" borderId="0"/>
    <xf numFmtId="0" fontId="131" fillId="0" borderId="0"/>
    <xf numFmtId="0" fontId="8" fillId="0" borderId="0"/>
    <xf numFmtId="0" fontId="132" fillId="0" borderId="0"/>
    <xf numFmtId="0" fontId="2" fillId="0" borderId="0"/>
    <xf numFmtId="0" fontId="2" fillId="8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131" fillId="0" borderId="0"/>
    <xf numFmtId="0" fontId="131"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9" fillId="0" borderId="0">
      <alignment vertical="top"/>
    </xf>
    <xf numFmtId="0" fontId="29" fillId="0" borderId="0">
      <alignment vertical="top"/>
    </xf>
    <xf numFmtId="0" fontId="2" fillId="8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2" fillId="80" borderId="0"/>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3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0" borderId="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2" fillId="0" borderId="0">
      <alignment horizontal="left" wrapText="1"/>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9" fillId="0" borderId="124" applyNumberFormat="0" applyFill="0" applyProtection="0">
      <alignment horizontal="center"/>
    </xf>
    <xf numFmtId="0" fontId="139"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lignment horizontal="left" wrapText="1"/>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31" fillId="0" borderId="0"/>
    <xf numFmtId="0" fontId="131" fillId="0" borderId="0"/>
    <xf numFmtId="0" fontId="2" fillId="0" borderId="0"/>
    <xf numFmtId="0" fontId="2" fillId="0" borderId="0"/>
    <xf numFmtId="0" fontId="131" fillId="0" borderId="0"/>
    <xf numFmtId="0" fontId="131" fillId="0" borderId="0"/>
    <xf numFmtId="0" fontId="2"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1" fillId="0" borderId="0"/>
    <xf numFmtId="0" fontId="131" fillId="0" borderId="0"/>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xf numFmtId="0" fontId="2" fillId="0" borderId="0"/>
    <xf numFmtId="0" fontId="2" fillId="0" borderId="0"/>
    <xf numFmtId="0" fontId="133"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80" borderId="0"/>
    <xf numFmtId="0" fontId="2" fillId="0" borderId="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43" fillId="0" borderId="0">
      <alignment horizontal="left" vertical="center"/>
    </xf>
    <xf numFmtId="0" fontId="131" fillId="0" borderId="0"/>
    <xf numFmtId="0" fontId="143"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44" fillId="0" borderId="0"/>
    <xf numFmtId="1" fontId="145" fillId="0" borderId="117">
      <alignment horizontal="centerContinuous"/>
    </xf>
    <xf numFmtId="235" fontId="81" fillId="0" borderId="0">
      <alignment horizontal="center"/>
    </xf>
    <xf numFmtId="235"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5"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38" fontId="146" fillId="0" borderId="0" applyFill="0" applyBorder="0" applyAlignment="0" applyProtection="0"/>
    <xf numFmtId="238" fontId="146" fillId="0" borderId="0" applyFill="0" applyBorder="0" applyAlignment="0" applyProtection="0"/>
    <xf numFmtId="238" fontId="146" fillId="0" borderId="0" applyFill="0" applyBorder="0" applyAlignment="0" applyProtection="0"/>
    <xf numFmtId="239" fontId="146" fillId="0" borderId="0" applyFill="0" applyBorder="0" applyAlignment="0" applyProtection="0"/>
    <xf numFmtId="239" fontId="146" fillId="0" borderId="0" applyFill="0" applyBorder="0" applyAlignment="0" applyProtection="0"/>
    <xf numFmtId="239" fontId="146" fillId="0" borderId="0" applyFill="0" applyBorder="0" applyAlignment="0" applyProtection="0"/>
    <xf numFmtId="240" fontId="81" fillId="0" borderId="0">
      <alignment horizontal="center"/>
    </xf>
    <xf numFmtId="240" fontId="81" fillId="0" borderId="0">
      <alignment horizontal="center"/>
    </xf>
    <xf numFmtId="241" fontId="81" fillId="0" borderId="0">
      <alignment horizontal="center"/>
    </xf>
    <xf numFmtId="241" fontId="81" fillId="0" borderId="0">
      <alignment horizontal="center"/>
    </xf>
    <xf numFmtId="241" fontId="81" fillId="0" borderId="0">
      <alignment horizontal="center"/>
    </xf>
    <xf numFmtId="235" fontId="81" fillId="0" borderId="0">
      <alignment horizontal="center"/>
    </xf>
    <xf numFmtId="235" fontId="81" fillId="0" borderId="0">
      <alignment horizontal="center"/>
    </xf>
    <xf numFmtId="235" fontId="81" fillId="0" borderId="0">
      <alignment horizontal="center"/>
    </xf>
    <xf numFmtId="240" fontId="81" fillId="0" borderId="0">
      <alignment horizontal="center"/>
    </xf>
    <xf numFmtId="0" fontId="147" fillId="0" borderId="58"/>
    <xf numFmtId="0" fontId="133"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0" fontId="122" fillId="0" borderId="0" applyFont="0" applyFill="0" applyBorder="0" applyAlignment="0" applyProtection="0"/>
    <xf numFmtId="14" fontId="148" fillId="0" borderId="0" applyFill="0" applyBorder="0" applyProtection="0">
      <alignment horizontal="right"/>
    </xf>
    <xf numFmtId="16" fontId="148" fillId="0" borderId="0" applyFill="0" applyBorder="0" applyProtection="0">
      <alignment horizontal="right"/>
    </xf>
    <xf numFmtId="18" fontId="148" fillId="0" borderId="0" applyFill="0" applyBorder="0" applyProtection="0">
      <alignment horizontal="right"/>
    </xf>
    <xf numFmtId="16" fontId="148" fillId="0" borderId="0" applyFill="0" applyBorder="0" applyProtection="0">
      <alignment horizontal="right"/>
    </xf>
    <xf numFmtId="22" fontId="148" fillId="0" borderId="0" applyFill="0" applyBorder="0" applyProtection="0">
      <alignment horizontal="right"/>
    </xf>
    <xf numFmtId="14" fontId="148" fillId="0" borderId="0" applyFill="0" applyBorder="0" applyProtection="0">
      <alignment horizontal="right"/>
    </xf>
    <xf numFmtId="20" fontId="148" fillId="0" borderId="0" applyFill="0" applyBorder="0" applyProtection="0">
      <alignment horizontal="right"/>
    </xf>
    <xf numFmtId="16" fontId="148" fillId="0" borderId="0" applyFill="0" applyBorder="0" applyProtection="0">
      <alignment horizontal="right"/>
    </xf>
    <xf numFmtId="16" fontId="148" fillId="0" borderId="0" applyFill="0" applyBorder="0" applyProtection="0">
      <alignment horizontal="right"/>
    </xf>
    <xf numFmtId="14" fontId="148" fillId="0" borderId="0" applyFill="0" applyBorder="0" applyProtection="0">
      <alignment horizontal="right"/>
    </xf>
    <xf numFmtId="1" fontId="148" fillId="0" borderId="0" applyFill="0" applyBorder="0" applyProtection="0">
      <alignment horizontal="right"/>
    </xf>
    <xf numFmtId="1" fontId="148" fillId="0" borderId="0" applyFill="0" applyBorder="0" applyProtection="0">
      <alignment horizontal="right"/>
    </xf>
    <xf numFmtId="1" fontId="148" fillId="0" borderId="0" applyFill="0" applyBorder="0" applyProtection="0">
      <alignment horizontal="right"/>
    </xf>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3" fontId="149" fillId="0" borderId="66"/>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51" fillId="96" borderId="0" applyNumberFormat="0" applyFont="0" applyBorder="0" applyProtection="0"/>
    <xf numFmtId="0" fontId="28" fillId="0" borderId="97" applyBorder="0"/>
    <xf numFmtId="0" fontId="28" fillId="0" borderId="9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98" borderId="0" applyNumberFormat="0" applyBorder="0" applyAlignment="0" applyProtection="0"/>
    <xf numFmtId="0" fontId="14" fillId="98" borderId="0" applyNumberFormat="0" applyBorder="0" applyAlignment="0" applyProtection="0"/>
    <xf numFmtId="0" fontId="12" fillId="9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4" fillId="99" borderId="0" applyNumberFormat="0" applyBorder="0" applyAlignment="0" applyProtection="0"/>
    <xf numFmtId="0" fontId="12" fillId="99"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4" fillId="86" borderId="0" applyNumberFormat="0" applyBorder="0" applyAlignment="0" applyProtection="0"/>
    <xf numFmtId="0" fontId="12" fillId="86"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19" fillId="27" borderId="0" applyNumberFormat="0" applyBorder="0" applyAlignment="0" applyProtection="0"/>
    <xf numFmtId="0" fontId="12" fillId="96" borderId="0" applyNumberFormat="0" applyBorder="0" applyAlignment="0" applyProtection="0"/>
    <xf numFmtId="0" fontId="14" fillId="96" borderId="0" applyNumberFormat="0" applyBorder="0" applyAlignment="0" applyProtection="0"/>
    <xf numFmtId="0" fontId="12" fillId="96"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0" fontId="152" fillId="0" borderId="0" applyNumberFormat="0" applyFill="0" applyBorder="0" applyAlignment="0">
      <protection locked="0"/>
    </xf>
    <xf numFmtId="245" fontId="133" fillId="0" borderId="0" applyFont="0" applyFill="0" applyBorder="0" applyAlignment="0" applyProtection="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applyProtection="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0" fontId="153" fillId="91" borderId="12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0" fontId="133"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6"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0" fontId="155" fillId="0" borderId="12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6" fillId="103" borderId="127" applyNumberFormat="0" applyAlignment="0" applyProtection="0"/>
    <xf numFmtId="0" fontId="156" fillId="103" borderId="127" applyNumberFormat="0" applyAlignment="0" applyProtection="0"/>
    <xf numFmtId="0" fontId="157" fillId="0" borderId="0" applyNumberFormat="0" applyFill="0" applyAlignment="0"/>
    <xf numFmtId="0" fontId="158" fillId="0" borderId="128" applyNumberFormat="0" applyFont="0" applyFill="0" applyAlignment="0"/>
    <xf numFmtId="247"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21" fillId="63" borderId="129" applyNumberFormat="0" applyAlignment="0" applyProtection="0"/>
    <xf numFmtId="0" fontId="160" fillId="0" borderId="0" applyNumberFormat="0" applyFill="0" applyBorder="0" applyAlignment="0">
      <alignment horizontal="right"/>
    </xf>
    <xf numFmtId="38" fontId="161" fillId="104"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105"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3" fillId="105"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2" fillId="106"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8" fontId="133" fillId="0" borderId="0" applyFont="0" applyFill="0" applyBorder="0" applyAlignment="0" applyProtection="0"/>
    <xf numFmtId="249" fontId="164" fillId="0" borderId="0"/>
    <xf numFmtId="0" fontId="165" fillId="0" borderId="130"/>
    <xf numFmtId="250" fontId="2" fillId="0" borderId="0"/>
    <xf numFmtId="0" fontId="165" fillId="0" borderId="131"/>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56" fillId="103" borderId="132">
      <alignment horizontal="center" vertical="center"/>
    </xf>
    <xf numFmtId="0" fontId="156" fillId="103" borderId="132">
      <alignment horizontal="center" vertical="center"/>
    </xf>
    <xf numFmtId="0" fontId="169" fillId="0" borderId="0" applyProtection="0">
      <alignment horizontal="center"/>
    </xf>
    <xf numFmtId="0" fontId="169"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45" fillId="0" borderId="0" applyNumberFormat="0" applyFill="0" applyBorder="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172" fontId="133" fillId="0" borderId="0">
      <alignment vertical="top"/>
    </xf>
    <xf numFmtId="172" fontId="133" fillId="0" borderId="0">
      <alignment vertical="top"/>
    </xf>
    <xf numFmtId="172" fontId="133" fillId="0" borderId="0">
      <alignment vertical="top"/>
    </xf>
    <xf numFmtId="0" fontId="45" fillId="0" borderId="0" applyNumberFormat="0" applyFill="0" applyBorder="0" applyProtection="0">
      <alignment horizontal="right"/>
    </xf>
    <xf numFmtId="172" fontId="172" fillId="0" borderId="0">
      <alignment horizontal="right"/>
    </xf>
    <xf numFmtId="172" fontId="172" fillId="0" borderId="0">
      <alignment horizontal="right"/>
    </xf>
    <xf numFmtId="172" fontId="172" fillId="0" borderId="0">
      <alignment horizontal="right"/>
    </xf>
    <xf numFmtId="0" fontId="172" fillId="0" borderId="0">
      <alignment horizontal="left"/>
    </xf>
    <xf numFmtId="0" fontId="173" fillId="74" borderId="0" applyNumberFormat="0" applyBorder="0" applyAlignment="0" applyProtection="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2" fillId="72" borderId="0"/>
    <xf numFmtId="0" fontId="174" fillId="0" borderId="1" applyNumberFormat="0" applyFont="0" applyFill="0" applyAlignment="0" applyProtection="0"/>
    <xf numFmtId="0" fontId="174" fillId="0" borderId="133" applyNumberFormat="0" applyFont="0" applyFill="0" applyAlignment="0" applyProtection="0"/>
    <xf numFmtId="0" fontId="122" fillId="0" borderId="97" applyNumberFormat="0" applyFont="0" applyFill="0" applyAlignment="0" applyProtection="0"/>
    <xf numFmtId="0" fontId="122" fillId="0" borderId="97" applyNumberFormat="0" applyFont="0" applyFill="0" applyAlignment="0" applyProtection="0"/>
    <xf numFmtId="0" fontId="122" fillId="0" borderId="60" applyNumberFormat="0" applyFont="0" applyFill="0" applyAlignment="0" applyProtection="0"/>
    <xf numFmtId="0" fontId="122" fillId="0" borderId="60" applyNumberFormat="0" applyFont="0" applyFill="0" applyAlignment="0" applyProtection="0"/>
    <xf numFmtId="0" fontId="122" fillId="0" borderId="60" applyNumberFormat="0" applyFont="0" applyFill="0" applyAlignment="0" applyProtection="0"/>
    <xf numFmtId="0" fontId="122" fillId="0" borderId="58" applyNumberFormat="0" applyFont="0" applyFill="0" applyAlignment="0" applyProtection="0"/>
    <xf numFmtId="0" fontId="122" fillId="0" borderId="58"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3"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0" fontId="29"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20"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5"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0"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6" fontId="8"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7" fontId="175"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3"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44"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5"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8" fontId="175"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20"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0" fontId="21" fillId="63"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3" borderId="129" applyNumberFormat="0" applyAlignment="0" applyProtection="0"/>
    <xf numFmtId="0" fontId="21" fillId="63"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3" borderId="129" applyNumberFormat="0" applyAlignment="0" applyProtection="0"/>
    <xf numFmtId="0" fontId="176" fillId="104" borderId="129" applyNumberFormat="0" applyAlignment="0" applyProtection="0"/>
    <xf numFmtId="0" fontId="118" fillId="8" borderId="28" applyNumberFormat="0" applyAlignment="0" applyProtection="0"/>
    <xf numFmtId="3" fontId="45" fillId="41" borderId="60">
      <protection hidden="1"/>
    </xf>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176" fillId="104" borderId="129" applyNumberFormat="0" applyAlignment="0" applyProtection="0"/>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122" fillId="0" borderId="0" applyFont="0" applyFill="0" applyBorder="0" applyAlignment="0" applyProtection="0"/>
    <xf numFmtId="38" fontId="122" fillId="0" borderId="0" applyFont="0" applyFill="0" applyBorder="0" applyAlignment="0" applyProtection="0"/>
    <xf numFmtId="38" fontId="122" fillId="0" borderId="0" applyFont="0" applyFill="0" applyBorder="0" applyAlignment="0" applyProtection="0"/>
    <xf numFmtId="38" fontId="122"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40" fontId="122" fillId="0" borderId="0" applyFont="0" applyFill="0" applyBorder="0" applyAlignment="0" applyProtection="0"/>
    <xf numFmtId="40" fontId="122" fillId="0" borderId="0" applyFont="0" applyFill="0" applyBorder="0" applyAlignment="0" applyProtection="0"/>
    <xf numFmtId="195" fontId="19" fillId="107" borderId="0" applyNumberFormat="0" applyFont="0" applyBorder="0" applyAlignment="0">
      <protection locked="0"/>
    </xf>
    <xf numFmtId="195" fontId="19" fillId="107"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77" fillId="0" borderId="60" applyBorder="0"/>
    <xf numFmtId="259" fontId="178"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08" borderId="36" applyNumberFormat="0" applyAlignment="0" applyProtection="0"/>
    <xf numFmtId="0" fontId="26" fillId="108" borderId="36" applyNumberFormat="0" applyAlignment="0" applyProtection="0"/>
    <xf numFmtId="0" fontId="26" fillId="108" borderId="36" applyNumberFormat="0" applyAlignment="0" applyProtection="0"/>
    <xf numFmtId="0" fontId="26" fillId="108"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vertical="center"/>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vertical="center"/>
    </xf>
    <xf numFmtId="10" fontId="180" fillId="0" borderId="0">
      <alignment vertical="center"/>
    </xf>
    <xf numFmtId="3" fontId="180" fillId="0" borderId="0">
      <alignment vertical="center"/>
    </xf>
    <xf numFmtId="0" fontId="12" fillId="53"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220" fontId="181" fillId="0" borderId="134"/>
    <xf numFmtId="200" fontId="182" fillId="0" borderId="0" applyFont="0" applyFill="0" applyBorder="0" applyAlignment="0" applyProtection="0"/>
    <xf numFmtId="0" fontId="183" fillId="0" borderId="0"/>
    <xf numFmtId="0" fontId="183" fillId="0" borderId="0"/>
    <xf numFmtId="0" fontId="183" fillId="0" borderId="0"/>
    <xf numFmtId="0" fontId="183" fillId="0" borderId="0"/>
    <xf numFmtId="260" fontId="2" fillId="0" borderId="0"/>
    <xf numFmtId="260" fontId="2" fillId="0" borderId="0"/>
    <xf numFmtId="260" fontId="2" fillId="0" borderId="0"/>
    <xf numFmtId="260" fontId="2" fillId="0" borderId="0"/>
    <xf numFmtId="216" fontId="184" fillId="0" borderId="0">
      <alignment horizontal="right" vertical="center" wrapText="1"/>
    </xf>
    <xf numFmtId="216" fontId="184" fillId="0" borderId="0">
      <alignment horizontal="right" vertical="center" wrapText="1"/>
    </xf>
    <xf numFmtId="216" fontId="184" fillId="0" borderId="0">
      <alignment horizontal="right" vertical="center" wrapText="1"/>
    </xf>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253" fontId="8"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44" fontId="8"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38" fontId="185"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86" fillId="0" borderId="0">
      <alignment horizontal="center"/>
      <protection locked="0"/>
    </xf>
    <xf numFmtId="0" fontId="2" fillId="0" borderId="0" applyFont="0" applyFill="0" applyBorder="0" applyAlignment="0" applyProtection="0"/>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1" fontId="135" fillId="0" borderId="0" applyFont="0" applyFill="0" applyBorder="0" applyAlignment="0" applyProtection="0">
      <alignment horizontal="right"/>
    </xf>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2" fontId="135"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63" fontId="135" fillId="0" borderId="0" applyFont="0" applyFill="0" applyBorder="0" applyAlignment="0" applyProtection="0">
      <alignment horizontal="right"/>
    </xf>
    <xf numFmtId="263" fontId="135" fillId="0" borderId="0" applyFont="0" applyFill="0" applyBorder="0" applyAlignment="0" applyProtection="0">
      <alignment horizontal="right"/>
    </xf>
    <xf numFmtId="166"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Alignment="0" applyProtection="0">
      <alignment horizontal="right"/>
    </xf>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35"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87"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20" fontId="121" fillId="0" borderId="0" applyFont="0" applyFill="0" applyBorder="0" applyAlignment="0" applyProtection="0"/>
    <xf numFmtId="220" fontId="121" fillId="0" borderId="0" applyFont="0" applyFill="0" applyBorder="0" applyAlignment="0" applyProtection="0"/>
    <xf numFmtId="3" fontId="182" fillId="0" borderId="118">
      <alignment vertical="center"/>
    </xf>
    <xf numFmtId="39"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3" fontId="182" fillId="0" borderId="118">
      <alignment vertical="center"/>
    </xf>
    <xf numFmtId="0"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3" fontId="182" fillId="0" borderId="11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88" fillId="106" borderId="0" applyBorder="0">
      <alignment horizontal="left"/>
    </xf>
    <xf numFmtId="0" fontId="189" fillId="109" borderId="0" applyNumberFormat="0" applyBorder="0">
      <alignment horizontal="left"/>
    </xf>
    <xf numFmtId="0" fontId="29"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9" fillId="73" borderId="135" applyNumberFormat="0" applyFont="0" applyAlignment="0" applyProtection="0"/>
    <xf numFmtId="0" fontId="29" fillId="73" borderId="135" applyNumberFormat="0" applyFont="0" applyAlignment="0" applyProtection="0"/>
    <xf numFmtId="0" fontId="29" fillId="73" borderId="135" applyNumberFormat="0" applyFont="0" applyAlignment="0" applyProtection="0"/>
    <xf numFmtId="3" fontId="182" fillId="0" borderId="118">
      <alignment vertical="center"/>
    </xf>
    <xf numFmtId="0" fontId="29" fillId="73" borderId="135" applyNumberFormat="0" applyFont="0" applyAlignment="0" applyProtection="0"/>
    <xf numFmtId="0" fontId="29"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71" fillId="73" borderId="135" applyNumberFormat="0" applyFont="0" applyAlignment="0" applyProtection="0"/>
    <xf numFmtId="195" fontId="2" fillId="0" borderId="0" applyFont="0" applyFill="0" applyBorder="0" applyAlignment="0" applyProtection="0"/>
    <xf numFmtId="195" fontId="2" fillId="0" borderId="0" applyFont="0" applyFill="0" applyBorder="0" applyAlignment="0" applyProtection="0"/>
    <xf numFmtId="172" fontId="190" fillId="0" borderId="0" applyFill="0" applyBorder="0">
      <alignment horizontal="left"/>
    </xf>
    <xf numFmtId="0" fontId="191" fillId="110"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92" fillId="0" borderId="0" applyNumberFormat="0" applyAlignment="0">
      <alignment horizontal="left"/>
    </xf>
    <xf numFmtId="0" fontId="193" fillId="0" borderId="113" applyNumberFormat="0" applyFill="0" applyBorder="0" applyAlignment="0" applyProtection="0">
      <alignment horizontal="center"/>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3" fillId="0" borderId="113" applyNumberFormat="0" applyFill="0" applyBorder="0" applyAlignment="0" applyProtection="0">
      <alignment horizontal="center"/>
      <protection locked="0"/>
    </xf>
    <xf numFmtId="0" fontId="193" fillId="0" borderId="113" applyNumberFormat="0" applyFill="0" applyBorder="0" applyAlignment="0" applyProtection="0">
      <alignment horizontal="center"/>
      <protection locked="0"/>
    </xf>
    <xf numFmtId="3" fontId="182" fillId="0" borderId="118">
      <alignment vertical="center"/>
    </xf>
    <xf numFmtId="0" fontId="193" fillId="0" borderId="113" applyNumberFormat="0" applyFill="0" applyBorder="0" applyAlignment="0" applyProtection="0">
      <alignment horizontal="center"/>
      <protection locked="0"/>
    </xf>
    <xf numFmtId="0" fontId="193" fillId="0" borderId="113" applyNumberFormat="0" applyFill="0" applyBorder="0" applyAlignment="0" applyProtection="0">
      <alignment horizontal="center"/>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3" fontId="195" fillId="0" borderId="136" applyNumberFormat="0" applyAlignment="0">
      <alignment vertical="center"/>
    </xf>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3" fontId="182" fillId="0" borderId="118">
      <alignment vertical="center"/>
    </xf>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2" fillId="0" borderId="0" applyFont="0" applyFill="0" applyBorder="0" applyAlignment="0" applyProtection="0"/>
    <xf numFmtId="264" fontId="196" fillId="0" borderId="0"/>
    <xf numFmtId="42"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82" fillId="0" borderId="118">
      <alignment vertical="center"/>
    </xf>
    <xf numFmtId="197" fontId="2" fillId="0" borderId="0" applyFont="0" applyFill="0" applyBorder="0" applyAlignment="0" applyProtection="0"/>
    <xf numFmtId="197" fontId="2" fillId="0" borderId="0" applyFont="0" applyFill="0" applyBorder="0" applyAlignment="0" applyProtection="0"/>
    <xf numFmtId="42"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42" fontId="2" fillId="0" borderId="0" applyFont="0" applyFill="0" applyBorder="0" applyAlignment="0" applyProtection="0"/>
    <xf numFmtId="254" fontId="8"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20" fontId="8"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3" fontId="182" fillId="0" borderId="11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5" fontId="135" fillId="0" borderId="0" applyFont="0" applyFill="0" applyBorder="0" applyAlignment="0" applyProtection="0">
      <alignment horizontal="right"/>
    </xf>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9"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266" fontId="135" fillId="0" borderId="0" applyFont="0" applyFill="0" applyBorder="0" applyAlignment="0" applyProtection="0">
      <alignment horizontal="right"/>
    </xf>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3" fontId="182" fillId="0" borderId="118">
      <alignment vertical="center"/>
    </xf>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5" fillId="0" borderId="0" applyFont="0" applyFill="0" applyBorder="0" applyProtection="0"/>
    <xf numFmtId="3" fontId="182" fillId="0" borderId="118">
      <alignment vertical="center"/>
    </xf>
    <xf numFmtId="3" fontId="182" fillId="0" borderId="118">
      <alignment vertical="center"/>
    </xf>
    <xf numFmtId="266" fontId="135" fillId="0" borderId="0" applyFont="0" applyFill="0" applyBorder="0" applyProtection="0"/>
    <xf numFmtId="266" fontId="135" fillId="0" borderId="0" applyFont="0" applyFill="0" applyBorder="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3" fontId="182" fillId="0" borderId="118">
      <alignment vertical="center"/>
    </xf>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82" fillId="0" borderId="118">
      <alignment vertical="center"/>
    </xf>
    <xf numFmtId="3" fontId="182" fillId="0" borderId="118">
      <alignment vertical="center"/>
    </xf>
    <xf numFmtId="267" fontId="197" fillId="0" borderId="0"/>
    <xf numFmtId="0" fontId="2" fillId="0" borderId="0" applyNumberFormat="0" applyFont="0" applyFill="0" applyBorder="0" applyAlignment="0" applyProtection="0"/>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267" fontId="197" fillId="0" borderId="0"/>
    <xf numFmtId="267" fontId="197" fillId="0" borderId="0"/>
    <xf numFmtId="3" fontId="182" fillId="0" borderId="118">
      <alignment vertical="center"/>
    </xf>
    <xf numFmtId="3" fontId="182" fillId="0" borderId="118">
      <alignment vertical="center"/>
    </xf>
    <xf numFmtId="0" fontId="197" fillId="0" borderId="0"/>
    <xf numFmtId="0" fontId="2" fillId="0" borderId="0" applyNumberFormat="0" applyFont="0" applyFill="0" applyBorder="0" applyAlignment="0" applyProtection="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267" fontId="197" fillId="0" borderId="0"/>
    <xf numFmtId="3" fontId="182" fillId="0" borderId="118">
      <alignment vertical="center"/>
    </xf>
    <xf numFmtId="267" fontId="197" fillId="0" borderId="0"/>
    <xf numFmtId="267" fontId="197" fillId="0" borderId="0"/>
    <xf numFmtId="3" fontId="182" fillId="0" borderId="118">
      <alignment vertical="center"/>
    </xf>
    <xf numFmtId="3" fontId="182" fillId="0" borderId="118">
      <alignment vertical="center"/>
    </xf>
    <xf numFmtId="0" fontId="197" fillId="0" borderId="0"/>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267" fontId="197" fillId="0" borderId="0"/>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3" fontId="182" fillId="0" borderId="118">
      <alignment vertical="center"/>
    </xf>
    <xf numFmtId="267" fontId="197" fillId="0" borderId="0"/>
    <xf numFmtId="3" fontId="182" fillId="0" borderId="118">
      <alignment vertical="center"/>
    </xf>
    <xf numFmtId="267" fontId="197" fillId="0" borderId="0"/>
    <xf numFmtId="267" fontId="197" fillId="0" borderId="0"/>
    <xf numFmtId="3" fontId="182" fillId="0" borderId="118">
      <alignment vertical="center"/>
    </xf>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0" fontId="198" fillId="0" borderId="0" applyNumberFormat="0" applyFont="0" applyBorder="0" applyAlignment="0"/>
    <xf numFmtId="0" fontId="198"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1" borderId="137" applyNumberFormat="0" applyFont="0" applyBorder="0" applyAlignment="0" applyProtection="0">
      <alignment horizontal="centerContinuous"/>
    </xf>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2" fillId="0" borderId="0" applyNumberFormat="0" applyFont="0" applyFill="0" applyBorder="0" applyAlignment="0" applyProtection="0"/>
    <xf numFmtId="0" fontId="9" fillId="69" borderId="137" applyNumberFormat="0" applyFont="0" applyBorder="0" applyProtection="0"/>
    <xf numFmtId="3" fontId="182" fillId="0" borderId="118">
      <alignment vertical="center"/>
    </xf>
    <xf numFmtId="0" fontId="2" fillId="0" borderId="0" applyNumberFormat="0" applyFont="0" applyFill="0" applyBorder="0" applyAlignment="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10" fontId="2" fillId="0" borderId="0" applyFont="0" applyFill="0" applyBorder="0" applyProtection="0">
      <alignment horizontal="center"/>
    </xf>
    <xf numFmtId="268" fontId="2" fillId="0" borderId="0" applyFont="0" applyFill="0" applyBorder="0" applyProtection="0"/>
    <xf numFmtId="269" fontId="2" fillId="0" borderId="0" applyFont="0" applyFill="0" applyBorder="0" applyProtection="0"/>
    <xf numFmtId="3" fontId="182" fillId="0" borderId="118">
      <alignment vertical="center"/>
    </xf>
    <xf numFmtId="0" fontId="160" fillId="0" borderId="0" applyNumberFormat="0" applyBorder="0" applyAlignment="0">
      <alignment horizontal="center"/>
    </xf>
    <xf numFmtId="0" fontId="160" fillId="112" borderId="0" applyNumberFormat="0" applyBorder="0" applyAlignment="0">
      <alignment horizontal="center"/>
    </xf>
    <xf numFmtId="0" fontId="156" fillId="113" borderId="0" applyNumberFormat="0" applyBorder="0" applyAlignment="0"/>
    <xf numFmtId="0" fontId="199" fillId="113" borderId="0">
      <alignment horizontal="centerContinuous"/>
    </xf>
    <xf numFmtId="0" fontId="2" fillId="0" borderId="0" applyNumberFormat="0" applyFont="0" applyFill="0" applyBorder="0" applyAlignment="0" applyProtection="0"/>
    <xf numFmtId="0" fontId="2" fillId="88" borderId="0" applyNumberFormat="0" applyBorder="0" applyAlignment="0" applyProtection="0"/>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14" fontId="201" fillId="0" borderId="0"/>
    <xf numFmtId="270" fontId="184" fillId="0" borderId="0">
      <alignment horizontal="left" vertical="center" wrapText="1"/>
    </xf>
    <xf numFmtId="270" fontId="184" fillId="0" borderId="0">
      <alignment horizontal="left" vertical="center" wrapText="1"/>
    </xf>
    <xf numFmtId="270" fontId="184" fillId="0" borderId="0">
      <alignment horizontal="left" vertical="center" wrapText="1"/>
    </xf>
    <xf numFmtId="17" fontId="184" fillId="0" borderId="0">
      <alignment horizontal="left" vertical="center" wrapText="1"/>
    </xf>
    <xf numFmtId="0" fontId="2" fillId="0" borderId="0" applyNumberFormat="0" applyFont="0" applyFill="0" applyBorder="0" applyAlignment="0" applyProtection="0"/>
    <xf numFmtId="21" fontId="184" fillId="0" borderId="0">
      <alignment horizontal="left" vertical="center" wrapText="1"/>
    </xf>
    <xf numFmtId="19" fontId="184" fillId="0" borderId="0">
      <alignment horizontal="left" vertical="center" wrapText="1"/>
    </xf>
    <xf numFmtId="3" fontId="182" fillId="0" borderId="118">
      <alignment vertical="center"/>
    </xf>
    <xf numFmtId="0" fontId="184" fillId="0" borderId="0">
      <alignment horizontal="left" vertical="center" wrapText="1"/>
    </xf>
    <xf numFmtId="3" fontId="182" fillId="0" borderId="118">
      <alignment vertical="center"/>
    </xf>
    <xf numFmtId="0" fontId="184" fillId="0" borderId="0">
      <alignment horizontal="left" vertical="center" wrapText="1"/>
    </xf>
    <xf numFmtId="19" fontId="184" fillId="0" borderId="0">
      <alignment horizontal="left" vertical="center" wrapText="1"/>
    </xf>
    <xf numFmtId="19" fontId="184" fillId="0" borderId="0">
      <alignment horizontal="left" vertical="center" wrapText="1"/>
    </xf>
    <xf numFmtId="17" fontId="184"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01" fillId="0" borderId="0"/>
    <xf numFmtId="272" fontId="135"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82" fillId="0" borderId="118">
      <alignment vertical="center"/>
    </xf>
    <xf numFmtId="22" fontId="29" fillId="0" borderId="0" applyFill="0" applyBorder="0" applyAlignment="0"/>
    <xf numFmtId="3" fontId="182" fillId="0" borderId="11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82" fillId="0" borderId="118">
      <alignment vertical="center"/>
    </xf>
    <xf numFmtId="172" fontId="174" fillId="0" borderId="0" applyFont="0" applyFill="0" applyBorder="0" applyProtection="0">
      <alignment horizontal="right"/>
    </xf>
    <xf numFmtId="179" fontId="133"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3" fontId="202"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3" fontId="182" fillId="0" borderId="118">
      <alignment vertical="center"/>
    </xf>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3" fontId="182" fillId="0" borderId="118">
      <alignment vertical="center"/>
    </xf>
    <xf numFmtId="0" fontId="204" fillId="0" borderId="0"/>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182" fillId="0" borderId="118">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182" fillId="0" borderId="118">
      <alignment vertical="center"/>
    </xf>
    <xf numFmtId="0" fontId="2" fillId="0" borderId="60" applyFill="0" applyProtection="0">
      <alignment horizontal="centerContinuous"/>
    </xf>
    <xf numFmtId="0" fontId="2" fillId="0" borderId="60" applyFill="0" applyProtection="0">
      <alignment horizontal="centerContinuous"/>
    </xf>
    <xf numFmtId="3" fontId="182" fillId="0" borderId="118">
      <alignment vertical="center"/>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05" fillId="115"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205" fillId="115"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206" fillId="116"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9" fontId="20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5" fontId="2" fillId="0" borderId="0"/>
    <xf numFmtId="276" fontId="135" fillId="0" borderId="13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7" fontId="2" fillId="0" borderId="0">
      <alignment horizontal="right"/>
    </xf>
    <xf numFmtId="278" fontId="2" fillId="0" borderId="0">
      <alignment horizontal="right"/>
    </xf>
    <xf numFmtId="49" fontId="2" fillId="0" borderId="0">
      <alignment horizontal="left"/>
    </xf>
    <xf numFmtId="49" fontId="2" fillId="0" borderId="0">
      <alignment horizontal="left"/>
    </xf>
    <xf numFmtId="279" fontId="2" fillId="0" borderId="0">
      <alignment horizontal="left"/>
    </xf>
    <xf numFmtId="0" fontId="208" fillId="1" borderId="0" applyNumberFormat="0" applyBorder="0" applyAlignment="0" applyProtection="0"/>
    <xf numFmtId="0" fontId="10" fillId="0" borderId="0"/>
    <xf numFmtId="0" fontId="10" fillId="0" borderId="0"/>
    <xf numFmtId="0" fontId="10" fillId="0" borderId="0"/>
    <xf numFmtId="0" fontId="10" fillId="0" borderId="0"/>
    <xf numFmtId="0" fontId="20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17" fontId="210" fillId="112" borderId="92" applyNumberFormat="0" applyBorder="0" applyAlignment="0" applyProtection="0">
      <alignment horizontal="centerContinuous"/>
      <protection hidden="1"/>
    </xf>
    <xf numFmtId="0" fontId="10" fillId="0" borderId="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11" fillId="0" borderId="121" applyNumberFormat="0" applyAlignment="0">
      <protection locked="0"/>
    </xf>
    <xf numFmtId="0" fontId="49" fillId="42" borderId="129" applyNumberFormat="0" applyAlignment="0" applyProtection="0"/>
    <xf numFmtId="0" fontId="10" fillId="0" borderId="0"/>
    <xf numFmtId="0" fontId="10" fillId="0" borderId="0"/>
    <xf numFmtId="0" fontId="49" fillId="42" borderId="129" applyNumberFormat="0" applyAlignment="0" applyProtection="0"/>
    <xf numFmtId="0" fontId="49" fillId="42" borderId="129" applyNumberFormat="0" applyAlignment="0" applyProtection="0"/>
    <xf numFmtId="0" fontId="49" fillId="42" borderId="129" applyNumberFormat="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91" fillId="0" borderId="0" applyFill="0"/>
    <xf numFmtId="280" fontId="2" fillId="0" borderId="0" applyFont="0" applyFill="0" applyBorder="0" applyAlignment="0" applyProtection="0"/>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3"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28"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84" fontId="212" fillId="0" borderId="0">
      <alignment horizontal="right" vertical="top"/>
    </xf>
    <xf numFmtId="285" fontId="213" fillId="0" borderId="0" applyBorder="0">
      <alignment horizontal="right" vertical="top"/>
    </xf>
    <xf numFmtId="285" fontId="213" fillId="0" borderId="0" applyBorder="0">
      <alignment horizontal="right" vertical="top"/>
    </xf>
    <xf numFmtId="3" fontId="182" fillId="0" borderId="118">
      <alignment vertical="center"/>
    </xf>
    <xf numFmtId="286" fontId="20" fillId="0" borderId="0">
      <alignment horizontal="right" vertical="top"/>
    </xf>
    <xf numFmtId="287" fontId="128" fillId="0" borderId="0" applyBorder="0">
      <alignment horizontal="right" vertical="top"/>
    </xf>
    <xf numFmtId="287" fontId="128" fillId="0" borderId="0" applyBorder="0">
      <alignment horizontal="right" vertical="top"/>
    </xf>
    <xf numFmtId="3" fontId="182" fillId="0" borderId="118">
      <alignment vertical="center"/>
    </xf>
    <xf numFmtId="286" fontId="212" fillId="0" borderId="0">
      <alignment horizontal="right" vertical="top"/>
    </xf>
    <xf numFmtId="287" fontId="213" fillId="0" borderId="0" applyBorder="0">
      <alignment horizontal="right" vertical="top"/>
    </xf>
    <xf numFmtId="287" fontId="213" fillId="0" borderId="0" applyBorder="0">
      <alignment horizontal="right" vertical="top"/>
    </xf>
    <xf numFmtId="3" fontId="182" fillId="0" borderId="118">
      <alignment vertical="center"/>
    </xf>
    <xf numFmtId="288" fontId="20" fillId="0" borderId="0" applyFill="0" applyBorder="0">
      <alignment horizontal="right" vertical="top"/>
    </xf>
    <xf numFmtId="289" fontId="20" fillId="0" borderId="0" applyFill="0" applyBorder="0">
      <alignment horizontal="right" vertical="top"/>
    </xf>
    <xf numFmtId="211" fontId="128" fillId="0" borderId="0" applyFill="0" applyBorder="0">
      <alignment horizontal="right" vertical="top"/>
    </xf>
    <xf numFmtId="211" fontId="128" fillId="0" borderId="0" applyFill="0" applyBorder="0">
      <alignment horizontal="right" vertical="top"/>
    </xf>
    <xf numFmtId="3" fontId="182" fillId="0" borderId="118">
      <alignment vertical="center"/>
    </xf>
    <xf numFmtId="290" fontId="20" fillId="0" borderId="0" applyFill="0" applyBorder="0">
      <alignment horizontal="right" vertical="top"/>
    </xf>
    <xf numFmtId="291" fontId="128" fillId="0" borderId="0" applyFill="0" applyBorder="0">
      <alignment horizontal="right" vertical="top"/>
    </xf>
    <xf numFmtId="291" fontId="128" fillId="0" borderId="0" applyFill="0" applyBorder="0">
      <alignment horizontal="right" vertical="top"/>
    </xf>
    <xf numFmtId="3" fontId="182" fillId="0" borderId="118">
      <alignment vertical="center"/>
    </xf>
    <xf numFmtId="292" fontId="20" fillId="0" borderId="0" applyFill="0" applyBorder="0">
      <alignment horizontal="right" vertical="top"/>
    </xf>
    <xf numFmtId="293" fontId="128" fillId="0" borderId="0" applyFill="0" applyBorder="0">
      <alignment horizontal="right" vertical="top"/>
    </xf>
    <xf numFmtId="293" fontId="128" fillId="0" borderId="0" applyFill="0" applyBorder="0">
      <alignment horizontal="right" vertical="top"/>
    </xf>
    <xf numFmtId="3" fontId="182" fillId="0" borderId="118">
      <alignment vertical="center"/>
    </xf>
    <xf numFmtId="294" fontId="20" fillId="0" borderId="0" applyFill="0" applyBorder="0">
      <alignment horizontal="right" vertical="top"/>
    </xf>
    <xf numFmtId="295" fontId="128" fillId="0" borderId="0" applyFill="0" applyBorder="0">
      <alignment horizontal="right" vertical="top"/>
    </xf>
    <xf numFmtId="295" fontId="128" fillId="0" borderId="0" applyFill="0" applyBorder="0">
      <alignment horizontal="right" vertical="top"/>
    </xf>
    <xf numFmtId="3" fontId="182" fillId="0" borderId="118">
      <alignment vertical="center"/>
    </xf>
    <xf numFmtId="0" fontId="214" fillId="0" borderId="0">
      <alignment horizontal="left"/>
    </xf>
    <xf numFmtId="0" fontId="215" fillId="0" borderId="0">
      <alignment horizontal="center" wrapText="1"/>
    </xf>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139">
      <alignment horizontal="right" wrapText="1"/>
    </xf>
    <xf numFmtId="0" fontId="214" fillId="0" borderId="139">
      <alignment horizontal="right" wrapText="1"/>
    </xf>
    <xf numFmtId="0" fontId="214" fillId="0" borderId="139">
      <alignment horizontal="right" wrapText="1"/>
    </xf>
    <xf numFmtId="0" fontId="2" fillId="0" borderId="0" applyNumberFormat="0" applyFont="0" applyFill="0" applyBorder="0" applyAlignment="0" applyProtection="0"/>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139">
      <alignment horizontal="right" wrapText="1"/>
    </xf>
    <xf numFmtId="0" fontId="214" fillId="0" borderId="139">
      <alignment horizontal="right" wrapText="1"/>
    </xf>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96" fontId="216" fillId="0" borderId="13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6" fontId="216" fillId="0" borderId="139">
      <alignment horizontal="right"/>
    </xf>
    <xf numFmtId="296" fontId="216" fillId="0" borderId="139">
      <alignment horizontal="right"/>
    </xf>
    <xf numFmtId="296" fontId="216" fillId="0" borderId="139">
      <alignment horizontal="right"/>
    </xf>
    <xf numFmtId="0" fontId="2" fillId="0" borderId="0" applyNumberFormat="0" applyFont="0" applyFill="0" applyBorder="0" applyAlignment="0" applyProtection="0"/>
    <xf numFmtId="0" fontId="217" fillId="0" borderId="0">
      <alignment vertical="center"/>
    </xf>
    <xf numFmtId="297" fontId="217" fillId="0" borderId="0">
      <alignment horizontal="left" vertical="center"/>
    </xf>
    <xf numFmtId="298" fontId="218" fillId="0" borderId="0">
      <alignment vertical="center"/>
    </xf>
    <xf numFmtId="0" fontId="42" fillId="0" borderId="0">
      <alignment vertical="center"/>
    </xf>
    <xf numFmtId="296" fontId="216" fillId="0" borderId="13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16" fillId="0" borderId="139">
      <alignment horizontal="left"/>
    </xf>
    <xf numFmtId="296" fontId="216" fillId="0" borderId="139">
      <alignment horizontal="left"/>
    </xf>
    <xf numFmtId="0" fontId="2" fillId="0" borderId="0" applyNumberFormat="0" applyFont="0" applyFill="0" applyBorder="0" applyAlignment="0" applyProtection="0"/>
    <xf numFmtId="296" fontId="190" fillId="0" borderId="0" applyFill="0" applyBorder="0">
      <alignment vertical="top"/>
    </xf>
    <xf numFmtId="296" fontId="201" fillId="0" borderId="0" applyFill="0" applyBorder="0" applyProtection="0">
      <alignment vertical="top"/>
    </xf>
    <xf numFmtId="296" fontId="219" fillId="0" borderId="0">
      <alignment vertical="top"/>
    </xf>
    <xf numFmtId="296" fontId="128" fillId="0" borderId="0">
      <alignment horizontal="center"/>
    </xf>
    <xf numFmtId="296" fontId="220" fillId="0" borderId="13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20" fillId="0" borderId="139">
      <alignment horizontal="center"/>
    </xf>
    <xf numFmtId="296" fontId="220" fillId="0" borderId="139">
      <alignment horizontal="center"/>
    </xf>
    <xf numFmtId="0" fontId="2" fillId="0" borderId="0" applyNumberFormat="0" applyFont="0" applyFill="0" applyBorder="0" applyAlignment="0" applyProtection="0"/>
    <xf numFmtId="195" fontId="20" fillId="0" borderId="0" applyFill="0" applyBorder="0" applyAlignment="0" applyProtection="0">
      <alignment horizontal="right" vertical="top"/>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195" fontId="128" fillId="0" borderId="14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195" fontId="128" fillId="0" borderId="14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297"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6"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153" fillId="0" borderId="0"/>
    <xf numFmtId="296" fontId="2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2" fillId="0" borderId="0"/>
    <xf numFmtId="296" fontId="2" fillId="0" borderId="0"/>
    <xf numFmtId="0" fontId="2" fillId="0" borderId="0" applyNumberFormat="0" applyFont="0" applyFill="0" applyBorder="0" applyAlignment="0" applyProtection="0"/>
    <xf numFmtId="3" fontId="182" fillId="0" borderId="118">
      <alignment vertical="center"/>
    </xf>
    <xf numFmtId="296" fontId="222"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28" fillId="0" borderId="0" applyFill="0" applyBorder="0">
      <alignment horizontal="left" vertical="top" wrapText="1"/>
    </xf>
    <xf numFmtId="0" fontId="128" fillId="0" borderId="0" applyFill="0" applyBorder="0">
      <alignment horizontal="left" vertical="top" wrapText="1"/>
    </xf>
    <xf numFmtId="3" fontId="182" fillId="0" borderId="118">
      <alignment vertical="center"/>
    </xf>
    <xf numFmtId="0" fontId="223" fillId="0" borderId="0">
      <alignment horizontal="left" vertical="top" wrapText="1"/>
    </xf>
    <xf numFmtId="0" fontId="224" fillId="0" borderId="0">
      <alignment horizontal="left" vertical="top" wrapText="1"/>
    </xf>
    <xf numFmtId="0" fontId="213" fillId="0" borderId="0">
      <alignment horizontal="left" vertical="top" wrapText="1"/>
    </xf>
    <xf numFmtId="3" fontId="225" fillId="80" borderId="60">
      <alignment horizontal="centerContinuous"/>
    </xf>
    <xf numFmtId="0" fontId="138" fillId="0" borderId="53" applyNumberFormat="0" applyFill="0" applyBorder="0" applyAlignment="0"/>
    <xf numFmtId="299" fontId="226" fillId="0" borderId="0"/>
    <xf numFmtId="0" fontId="2" fillId="0" borderId="0" applyNumberFormat="0" applyFont="0" applyFill="0" applyBorder="0" applyAlignment="0" applyProtection="0"/>
    <xf numFmtId="0" fontId="10" fillId="0" borderId="0"/>
    <xf numFmtId="38" fontId="174" fillId="0" borderId="0"/>
    <xf numFmtId="300" fontId="227" fillId="0" borderId="0">
      <protection locked="0"/>
    </xf>
    <xf numFmtId="301" fontId="2" fillId="0" borderId="0"/>
    <xf numFmtId="0" fontId="2" fillId="0" borderId="0"/>
    <xf numFmtId="0" fontId="2" fillId="0" borderId="0"/>
    <xf numFmtId="0" fontId="2" fillId="0" borderId="0" applyNumberFormat="0" applyFont="0" applyFill="0" applyBorder="0" applyAlignment="0" applyProtection="0"/>
    <xf numFmtId="3" fontId="182" fillId="0" borderId="118">
      <alignment vertical="center"/>
    </xf>
    <xf numFmtId="0" fontId="10" fillId="0" borderId="0"/>
    <xf numFmtId="0" fontId="228" fillId="0" borderId="0" applyFill="0" applyBorder="0" applyProtection="0">
      <alignment horizontal="left"/>
    </xf>
    <xf numFmtId="0" fontId="229" fillId="68" borderId="0"/>
    <xf numFmtId="37" fontId="230" fillId="68" borderId="0" applyNumberFormat="0" applyBorder="0" applyAlignment="0" applyProtection="0"/>
    <xf numFmtId="294" fontId="230" fillId="68" borderId="0" applyNumberFormat="0" applyBorder="0" applyAlignment="0" applyProtection="0"/>
    <xf numFmtId="3" fontId="182" fillId="0" borderId="118">
      <alignment vertical="center"/>
    </xf>
    <xf numFmtId="0" fontId="231" fillId="117" borderId="0" applyNumberFormat="0" applyFont="0" applyBorder="0" applyAlignment="0"/>
    <xf numFmtId="0" fontId="2" fillId="0" borderId="0" applyFont="0" applyFill="0" applyBorder="0" applyAlignment="0" applyProtection="0"/>
    <xf numFmtId="0" fontId="10" fillId="0" borderId="0"/>
    <xf numFmtId="0" fontId="10" fillId="0" borderId="0"/>
    <xf numFmtId="3" fontId="182" fillId="0" borderId="11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02"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32" fillId="0" borderId="0">
      <alignment horizontal="centerContinuous" vertical="center"/>
    </xf>
    <xf numFmtId="303" fontId="2" fillId="0" borderId="0" applyFont="0" applyFill="0" applyBorder="0" applyAlignment="0" applyProtection="0"/>
    <xf numFmtId="0" fontId="191" fillId="110" borderId="0">
      <alignment horizontal="left"/>
    </xf>
    <xf numFmtId="1" fontId="233" fillId="0" borderId="141">
      <alignment horizontal="left"/>
    </xf>
    <xf numFmtId="247" fontId="234"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46" fillId="118" borderId="0" applyNumberFormat="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39" fontId="146" fillId="118" borderId="0" applyNumberFormat="0" applyBorder="0" applyAlignment="0" applyProtection="0"/>
    <xf numFmtId="0" fontId="2" fillId="0" borderId="0" applyNumberFormat="0" applyFont="0" applyFill="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46" fillId="119"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45" fillId="108" borderId="111"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08" borderId="111" applyAlignment="0" applyProtection="0"/>
    <xf numFmtId="0" fontId="45" fillId="108" borderId="111" applyAlignment="0" applyProtection="0"/>
    <xf numFmtId="0" fontId="2" fillId="0" borderId="0" applyNumberFormat="0" applyFont="0" applyFill="0" applyBorder="0" applyAlignment="0" applyProtection="0"/>
    <xf numFmtId="0" fontId="2" fillId="68" borderId="109"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9"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82" fillId="0" borderId="11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45" fillId="68" borderId="121"/>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4" fontId="150" fillId="106" borderId="0" applyBorder="0" applyAlignment="0"/>
    <xf numFmtId="305" fontId="135"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41" fillId="121" borderId="110" applyNumberFormat="0" applyFont="0" applyBorder="0" applyAlignment="0">
      <alignment horizontal="centerContinuous"/>
    </xf>
    <xf numFmtId="0" fontId="235" fillId="0" borderId="0" applyProtection="0">
      <alignment horizontal="right"/>
    </xf>
    <xf numFmtId="0" fontId="235" fillId="0" borderId="0" applyProtection="0">
      <alignment horizontal="right"/>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235"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37" fillId="0" borderId="111">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36" fillId="104"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37" fillId="0" borderId="142" applyNumberFormat="0" applyFill="0" applyAlignment="0" applyProtection="0"/>
    <xf numFmtId="0" fontId="237" fillId="0" borderId="142" applyNumberFormat="0" applyFill="0" applyAlignment="0" applyProtection="0"/>
    <xf numFmtId="0" fontId="237" fillId="0" borderId="142"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38" fillId="0" borderId="0" applyProtection="0">
      <alignment horizontal="left"/>
    </xf>
    <xf numFmtId="0" fontId="238" fillId="0" borderId="0" applyProtection="0">
      <alignment horizontal="left"/>
    </xf>
    <xf numFmtId="0" fontId="238" fillId="0" borderId="0" applyProtection="0">
      <alignment horizontal="left"/>
    </xf>
    <xf numFmtId="0" fontId="238" fillId="0" borderId="0" applyProtection="0">
      <alignment horizontal="left"/>
    </xf>
    <xf numFmtId="0" fontId="10" fillId="0" borderId="0"/>
    <xf numFmtId="0" fontId="10" fillId="0" borderId="0"/>
    <xf numFmtId="0" fontId="10" fillId="0" borderId="0"/>
    <xf numFmtId="0" fontId="10" fillId="0" borderId="0"/>
    <xf numFmtId="0" fontId="239" fillId="0" borderId="143" applyNumberFormat="0" applyFill="0" applyAlignment="0" applyProtection="0"/>
    <xf numFmtId="0" fontId="239" fillId="0" borderId="143" applyNumberFormat="0" applyFill="0" applyAlignment="0" applyProtection="0"/>
    <xf numFmtId="0" fontId="239" fillId="0" borderId="143" applyNumberFormat="0" applyFill="0" applyAlignment="0" applyProtection="0"/>
    <xf numFmtId="0" fontId="238"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38" fillId="0" borderId="0" applyProtection="0">
      <alignment horizontal="left"/>
    </xf>
    <xf numFmtId="0" fontId="238" fillId="0" borderId="0" applyProtection="0">
      <alignment horizontal="left"/>
    </xf>
    <xf numFmtId="0" fontId="238" fillId="0" borderId="0" applyProtection="0">
      <alignment horizontal="left"/>
    </xf>
    <xf numFmtId="0" fontId="238"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1" fillId="0" borderId="144" applyNumberFormat="0" applyFill="0" applyAlignment="0" applyProtection="0"/>
    <xf numFmtId="0" fontId="241" fillId="0" borderId="144" applyNumberFormat="0" applyFill="0" applyAlignment="0" applyProtection="0"/>
    <xf numFmtId="0" fontId="241" fillId="0" borderId="144" applyNumberFormat="0" applyFill="0" applyAlignment="0" applyProtection="0"/>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08" fillId="122"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0" fontId="146"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9" applyFont="0" applyProtection="0">
      <alignment horizontal="right"/>
    </xf>
    <xf numFmtId="0" fontId="10" fillId="0" borderId="0"/>
    <xf numFmtId="3" fontId="2" fillId="70" borderId="109" applyFont="0" applyProtection="0">
      <alignment horizontal="right"/>
    </xf>
    <xf numFmtId="0" fontId="2" fillId="0" borderId="0" applyNumberFormat="0" applyFont="0" applyFill="0" applyBorder="0" applyAlignment="0" applyProtection="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70" borderId="109" applyFont="0" applyProtection="0">
      <alignment horizontal="right"/>
    </xf>
    <xf numFmtId="0" fontId="10" fillId="0" borderId="0"/>
    <xf numFmtId="10" fontId="2" fillId="70" borderId="109" applyFont="0" applyProtection="0">
      <alignment horizontal="right"/>
    </xf>
    <xf numFmtId="0" fontId="2" fillId="0" borderId="0" applyNumberFormat="0" applyFont="0" applyFill="0" applyBorder="0" applyAlignment="0" applyProtection="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0" borderId="109" applyFont="0" applyProtection="0">
      <alignment horizontal="right"/>
    </xf>
    <xf numFmtId="0" fontId="10" fillId="0" borderId="0"/>
    <xf numFmtId="9" fontId="2" fillId="70" borderId="109" applyFont="0" applyProtection="0">
      <alignment horizontal="right"/>
    </xf>
    <xf numFmtId="0" fontId="2" fillId="0" borderId="0" applyNumberFormat="0" applyFont="0" applyFill="0" applyBorder="0" applyAlignment="0" applyProtection="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70" borderId="110"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0" applyNumberFormat="0" applyFont="0" applyBorder="0" applyAlignment="0" applyProtection="0">
      <alignment horizontal="left"/>
    </xf>
    <xf numFmtId="0" fontId="2" fillId="0" borderId="0" applyNumberFormat="0" applyFont="0" applyFill="0" applyBorder="0" applyAlignment="0" applyProtection="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82" fillId="0" borderId="118">
      <alignment vertical="center"/>
    </xf>
    <xf numFmtId="0" fontId="2" fillId="0" borderId="0" applyNumberFormat="0" applyFont="0" applyFill="0" applyBorder="0" applyAlignment="0" applyProtection="0"/>
    <xf numFmtId="0" fontId="10" fillId="0" borderId="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7" fontId="230" fillId="0" borderId="0" applyNumberFormat="0" applyBorder="0" applyAlignment="0" applyProtection="0"/>
    <xf numFmtId="294" fontId="230" fillId="0" borderId="0" applyNumberFormat="0" applyBorder="0" applyAlignment="0" applyProtection="0"/>
    <xf numFmtId="3" fontId="182" fillId="0" borderId="118">
      <alignment vertical="center"/>
    </xf>
    <xf numFmtId="37" fontId="45" fillId="0" borderId="0"/>
    <xf numFmtId="294" fontId="45" fillId="0" borderId="0"/>
    <xf numFmtId="3" fontId="182" fillId="0" borderId="118">
      <alignment vertical="center"/>
    </xf>
    <xf numFmtId="0" fontId="24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2" fillId="0" borderId="0" applyNumberFormat="0" applyFont="0" applyFill="0" applyBorder="0" applyAlignment="0" applyProtection="0"/>
    <xf numFmtId="306"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7" fontId="243"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2" borderId="109"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2" borderId="109" applyNumberFormat="0" applyBorder="0" applyAlignment="0" applyProtection="0"/>
    <xf numFmtId="0" fontId="10" fillId="0" borderId="0"/>
    <xf numFmtId="10" fontId="19" fillId="102" borderId="109" applyNumberFormat="0" applyBorder="0" applyAlignment="0" applyProtection="0"/>
    <xf numFmtId="10" fontId="19" fillId="102" borderId="109" applyNumberFormat="0" applyBorder="0" applyAlignment="0" applyProtection="0"/>
    <xf numFmtId="10" fontId="19" fillId="102" borderId="109" applyNumberFormat="0" applyBorder="0" applyAlignment="0" applyProtection="0"/>
    <xf numFmtId="10" fontId="19" fillId="102" borderId="109" applyNumberFormat="0" applyBorder="0" applyAlignment="0" applyProtection="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10" fillId="0" borderId="0"/>
    <xf numFmtId="0" fontId="10" fillId="0" borderId="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244" fillId="0" borderId="66">
      <protection locked="0"/>
    </xf>
    <xf numFmtId="0" fontId="244" fillId="0" borderId="66">
      <protection locked="0"/>
    </xf>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44" fillId="83" borderId="145">
      <alignment horizontal="right" vertical="center"/>
      <protection locked="0"/>
    </xf>
    <xf numFmtId="309" fontId="244" fillId="83" borderId="145">
      <alignment horizontal="right" vertical="center"/>
      <protection locked="0"/>
    </xf>
    <xf numFmtId="309" fontId="244" fillId="83" borderId="145">
      <alignment horizontal="right" vertical="center"/>
      <protection locked="0"/>
    </xf>
    <xf numFmtId="0"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 fontId="206" fillId="124" borderId="6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82" fillId="0" borderId="118">
      <alignment vertical="center"/>
    </xf>
    <xf numFmtId="310" fontId="2" fillId="71" borderId="109" applyFont="0" applyAlignment="0">
      <protection locked="0"/>
    </xf>
    <xf numFmtId="0" fontId="10" fillId="0" borderId="0"/>
    <xf numFmtId="310" fontId="2" fillId="71" borderId="109" applyFont="0" applyAlignment="0">
      <protection locked="0"/>
    </xf>
    <xf numFmtId="0" fontId="2" fillId="0" borderId="0" applyNumberFormat="0" applyFont="0" applyFill="0" applyBorder="0" applyAlignment="0" applyProtection="0"/>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 fontId="182" fillId="0" borderId="118">
      <alignment vertical="center"/>
    </xf>
    <xf numFmtId="0" fontId="2" fillId="0" borderId="0" applyNumberFormat="0" applyFont="0" applyFill="0" applyBorder="0" applyAlignment="0" applyProtection="0"/>
    <xf numFmtId="0" fontId="10" fillId="0" borderId="0"/>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 fillId="71" borderId="109" applyFont="0">
      <alignment horizontal="right"/>
      <protection locked="0"/>
    </xf>
    <xf numFmtId="0" fontId="10" fillId="0" borderId="0"/>
    <xf numFmtId="3"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71" borderId="109" applyFont="0">
      <alignment horizontal="right"/>
      <protection locked="0"/>
    </xf>
    <xf numFmtId="0" fontId="10" fillId="0" borderId="0"/>
    <xf numFmtId="259" fontId="2" fillId="71" borderId="109" applyFont="0">
      <alignment horizontal="right"/>
      <protection locked="0"/>
    </xf>
    <xf numFmtId="0" fontId="2" fillId="0" borderId="0" applyNumberFormat="0" applyFont="0" applyFill="0" applyBorder="0" applyAlignment="0" applyProtection="0"/>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10" fontId="2" fillId="71" borderId="109" applyFont="0">
      <alignment horizontal="right"/>
      <protection locked="0"/>
    </xf>
    <xf numFmtId="0" fontId="10" fillId="0" borderId="0"/>
    <xf numFmtId="10" fontId="2" fillId="71" borderId="109" applyFont="0">
      <alignment horizontal="right"/>
      <protection locked="0"/>
    </xf>
    <xf numFmtId="0" fontId="2" fillId="0" borderId="0" applyNumberFormat="0" applyFont="0" applyFill="0" applyBorder="0" applyAlignment="0" applyProtection="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1" borderId="113"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71" borderId="109" applyFont="0">
      <alignment horizontal="center" wrapText="1"/>
      <protection locked="0"/>
    </xf>
    <xf numFmtId="0" fontId="10" fillId="0" borderId="0"/>
    <xf numFmtId="0" fontId="2" fillId="71" borderId="109" applyFont="0">
      <alignment horizontal="center" wrapText="1"/>
      <protection locked="0"/>
    </xf>
    <xf numFmtId="0" fontId="2" fillId="0" borderId="0" applyNumberFormat="0" applyFont="0" applyFill="0" applyBorder="0" applyAlignment="0" applyProtection="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71" borderId="109" applyFont="0" applyAlignment="0">
      <protection locked="0"/>
    </xf>
    <xf numFmtId="0" fontId="10" fillId="0" borderId="0"/>
    <xf numFmtId="0" fontId="10" fillId="0" borderId="0"/>
    <xf numFmtId="3" fontId="182" fillId="0" borderId="118">
      <alignment vertical="center"/>
    </xf>
    <xf numFmtId="0" fontId="10" fillId="0" borderId="0"/>
    <xf numFmtId="0" fontId="10" fillId="0" borderId="0"/>
    <xf numFmtId="49" fontId="2" fillId="71" borderId="109" applyFont="0" applyAlignment="0">
      <protection locked="0"/>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11"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8" fontId="233" fillId="0" borderId="0" applyNumberFormat="0" applyFill="0" applyBorder="0" applyAlignment="0" applyProtection="0"/>
    <xf numFmtId="0" fontId="2" fillId="0" borderId="0" applyNumberFormat="0" applyFont="0" applyFill="0" applyBorder="0" applyAlignment="0" applyProtection="0"/>
    <xf numFmtId="0" fontId="157" fillId="0" borderId="0"/>
    <xf numFmtId="312" fontId="2" fillId="0" borderId="0" applyFont="0" applyFill="0" applyBorder="0" applyAlignment="0" applyProtection="0"/>
    <xf numFmtId="31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2" fontId="2" fillId="39" borderId="0" applyFont="0" applyFill="0" applyBorder="0" applyAlignment="0" applyProtection="0">
      <alignment horizontal="center"/>
    </xf>
    <xf numFmtId="312"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104" borderId="0" applyNumberFormat="0" applyBorder="0" applyProtection="0">
      <alignment horizontal="center"/>
    </xf>
    <xf numFmtId="0" fontId="2" fillId="10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2" fontId="2" fillId="73" borderId="0" applyFont="0" applyFill="0" applyBorder="0" applyAlignment="0" applyProtection="0">
      <alignment horizontal="center"/>
    </xf>
    <xf numFmtId="312"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56" fillId="53" borderId="0" applyNumberFormat="0" applyBorder="0" applyProtection="0">
      <alignment horizontal="center"/>
    </xf>
    <xf numFmtId="313" fontId="246"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14" fontId="2" fillId="0" borderId="0" applyFont="0" applyFill="0" applyBorder="0" applyAlignment="0" applyProtection="0"/>
    <xf numFmtId="315" fontId="2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6" fontId="133" fillId="0" borderId="6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16" fontId="201" fillId="91" borderId="14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2" fontId="201" fillId="91" borderId="6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47" fillId="0" borderId="0" applyNumberFormat="0" applyFill="0" applyBorder="0">
      <alignment horizontal="right"/>
    </xf>
    <xf numFmtId="0" fontId="248" fillId="0" borderId="0">
      <protection locked="0"/>
    </xf>
    <xf numFmtId="0" fontId="10" fillId="0" borderId="0"/>
    <xf numFmtId="38" fontId="174" fillId="0" borderId="0">
      <alignment horizontal="right"/>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7" applyNumberFormat="0" applyFill="0" applyAlignment="0" applyProtection="0"/>
    <xf numFmtId="0" fontId="78" fillId="0" borderId="147" applyNumberFormat="0" applyFill="0" applyAlignment="0" applyProtection="0"/>
    <xf numFmtId="0" fontId="78" fillId="0" borderId="147"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59" fontId="230" fillId="88" borderId="0" applyNumberFormat="0" applyBorder="0" applyAlignment="0" applyProtection="0"/>
    <xf numFmtId="245" fontId="2" fillId="0" borderId="0" applyFont="0" applyFill="0" applyBorder="0" applyAlignment="0" applyProtection="0"/>
    <xf numFmtId="245" fontId="2"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43" fontId="37" fillId="68" borderId="0" applyNumberFormat="0" applyFont="0" applyBorder="0" applyAlignment="0"/>
    <xf numFmtId="0" fontId="2" fillId="68" borderId="0"/>
    <xf numFmtId="318"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8"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33"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50" fillId="0" borderId="0" applyNumberFormat="0" applyFill="0" applyBorder="0" applyAlignment="0" applyProtection="0"/>
    <xf numFmtId="0" fontId="251" fillId="0" borderId="0" applyNumberFormat="0" applyFill="0" applyBorder="0" applyAlignment="0" applyProtection="0"/>
    <xf numFmtId="0" fontId="252" fillId="0" borderId="0" applyNumberFormat="0" applyFill="0" applyBorder="0" applyAlignment="0" applyProtection="0"/>
    <xf numFmtId="17" fontId="253" fillId="0" borderId="119" applyAlignment="0" applyProtection="0">
      <alignment horizontal="centerContinuous"/>
    </xf>
    <xf numFmtId="19" fontId="253" fillId="0" borderId="119" applyAlignment="0" applyProtection="0">
      <alignment horizontal="centerContinuous"/>
    </xf>
    <xf numFmtId="3" fontId="182" fillId="0" borderId="118">
      <alignment vertical="center"/>
    </xf>
    <xf numFmtId="0" fontId="10" fillId="0" borderId="0"/>
    <xf numFmtId="319"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241"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195"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5" fontId="1" fillId="0" borderId="0" applyFont="0" applyFill="0" applyBorder="0" applyAlignment="0" applyProtection="0"/>
    <xf numFmtId="198" fontId="2" fillId="0" borderId="0" applyFont="0" applyFill="0" applyBorder="0" applyAlignment="0" applyProtection="0"/>
    <xf numFmtId="195" fontId="1" fillId="0" borderId="0" applyFont="0" applyFill="0" applyBorder="0" applyAlignment="0" applyProtection="0"/>
    <xf numFmtId="195" fontId="1" fillId="0" borderId="0" applyFont="0" applyFill="0" applyBorder="0" applyAlignment="0" applyProtection="0"/>
    <xf numFmtId="3" fontId="182" fillId="0" borderId="118">
      <alignment vertical="center"/>
    </xf>
    <xf numFmtId="19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91" fillId="110" borderId="0">
      <alignment horizontal="left"/>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0" fontId="10" fillId="0" borderId="0"/>
    <xf numFmtId="2" fontId="206" fillId="102" borderId="109"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0" fontId="133" fillId="0" borderId="0" applyFont="0" applyFill="0" applyBorder="0" applyAlignment="0" applyProtection="0"/>
    <xf numFmtId="38" fontId="29" fillId="104" borderId="0"/>
    <xf numFmtId="321"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26" borderId="120" applyNumberFormat="0" applyFill="0" applyBorder="0" applyAlignment="0"/>
    <xf numFmtId="17" fontId="45" fillId="126" borderId="120" applyNumberFormat="0" applyFill="0" applyBorder="0" applyAlignment="0"/>
    <xf numFmtId="3" fontId="182" fillId="0" borderId="118">
      <alignment vertical="center"/>
    </xf>
    <xf numFmtId="3" fontId="182" fillId="0" borderId="118">
      <alignment vertical="center"/>
    </xf>
    <xf numFmtId="0" fontId="198" fillId="0" borderId="0" applyNumberFormat="0" applyFont="0" applyBorder="0" applyAlignment="0"/>
    <xf numFmtId="0" fontId="198" fillId="0" borderId="0" applyNumberFormat="0" applyFont="0" applyBorder="0" applyAlignment="0"/>
    <xf numFmtId="322" fontId="2" fillId="0" borderId="0" applyFont="0" applyFill="0" applyBorder="0" applyAlignment="0" applyProtection="0"/>
    <xf numFmtId="32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23" fontId="184" fillId="0" borderId="0">
      <alignment horizontal="right" vertical="center" wrapText="1"/>
    </xf>
    <xf numFmtId="324" fontId="184"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84"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54" fillId="72" borderId="0" applyNumberFormat="0" applyBorder="0" applyAlignment="0" applyProtection="0"/>
    <xf numFmtId="0" fontId="254" fillId="72" borderId="0" applyNumberFormat="0" applyBorder="0" applyAlignment="0" applyProtection="0"/>
    <xf numFmtId="0" fontId="254"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7" fontId="255" fillId="0" borderId="0"/>
    <xf numFmtId="294" fontId="255"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210" fillId="69" borderId="109" applyNumberFormat="0" applyFont="0" applyBorder="0" applyAlignment="0">
      <alignment horizontal="centerContinuous"/>
    </xf>
    <xf numFmtId="0" fontId="45" fillId="104" borderId="0" applyNumberFormat="0" applyFont="0" applyFill="0" applyBorder="0" applyAlignment="0"/>
    <xf numFmtId="0" fontId="10" fillId="0" borderId="0"/>
    <xf numFmtId="0" fontId="10" fillId="0" borderId="0"/>
    <xf numFmtId="0" fontId="155" fillId="0" borderId="0"/>
    <xf numFmtId="10" fontId="29" fillId="104" borderId="0"/>
    <xf numFmtId="0" fontId="2" fillId="0" borderId="0"/>
    <xf numFmtId="326"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2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33"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82" fillId="0" borderId="11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7" fontId="174"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56" fillId="99" borderId="112">
      <alignment horizontal="center" vertical="top" wrapText="1"/>
    </xf>
    <xf numFmtId="0" fontId="256" fillId="99" borderId="112">
      <alignment horizontal="center" vertical="top" wrapText="1"/>
    </xf>
    <xf numFmtId="0" fontId="256" fillId="99" borderId="112">
      <alignment horizontal="center" vertical="top" wrapText="1"/>
    </xf>
    <xf numFmtId="0" fontId="256" fillId="99"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xf numFmtId="0" fontId="2" fillId="0" borderId="111"/>
    <xf numFmtId="0" fontId="2" fillId="0" borderId="111"/>
    <xf numFmtId="0"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xf numFmtId="0" fontId="45" fillId="70" borderId="110"/>
    <xf numFmtId="0" fontId="45" fillId="70" borderId="110"/>
    <xf numFmtId="0" fontId="45" fillId="7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2">
      <alignment horizontal="center" vertical="top"/>
    </xf>
    <xf numFmtId="0" fontId="256" fillId="127" borderId="112">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0"/>
    <xf numFmtId="0" fontId="45" fillId="0" borderId="110"/>
    <xf numFmtId="0" fontId="45" fillId="0" borderId="110"/>
    <xf numFmtId="0" fontId="45" fillId="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2"/>
    <xf numFmtId="0" fontId="2" fillId="0" borderId="112"/>
    <xf numFmtId="0" fontId="2" fillId="0" borderId="112"/>
    <xf numFmtId="0" fontId="2" fillId="0" borderId="112"/>
    <xf numFmtId="0" fontId="2"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70" borderId="113"/>
    <xf numFmtId="0" fontId="257" fillId="7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2">
      <alignment horizontal="center" vertical="top" wrapText="1"/>
    </xf>
    <xf numFmtId="0" fontId="256" fillId="127" borderId="112">
      <alignment horizontal="center" vertical="top" wrapText="1"/>
    </xf>
    <xf numFmtId="0" fontId="256" fillId="127" borderId="112">
      <alignment horizontal="center" vertical="top" wrapText="1"/>
    </xf>
    <xf numFmtId="0" fontId="256" fillId="127"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1"/>
    <xf numFmtId="3" fontId="2" fillId="0" borderId="111"/>
    <xf numFmtId="3" fontId="2" fillId="0" borderId="111"/>
    <xf numFmtId="3"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alignment horizontal="center"/>
    </xf>
    <xf numFmtId="0" fontId="45" fillId="70" borderId="110">
      <alignment horizontal="center"/>
    </xf>
    <xf numFmtId="0" fontId="45" fillId="70" borderId="110">
      <alignment horizontal="center"/>
    </xf>
    <xf numFmtId="0" fontId="45" fillId="70" borderId="11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1">
      <alignment horizontal="center"/>
    </xf>
    <xf numFmtId="0" fontId="45" fillId="70" borderId="111">
      <alignment horizontal="center"/>
    </xf>
    <xf numFmtId="0" fontId="2" fillId="0" borderId="0" applyNumberFormat="0" applyFont="0" applyFill="0" applyBorder="0" applyAlignment="0" applyProtection="0"/>
    <xf numFmtId="0" fontId="45" fillId="70" borderId="112">
      <alignment horizontal="center"/>
    </xf>
    <xf numFmtId="0" fontId="45" fillId="70" borderId="112">
      <alignment horizontal="center"/>
    </xf>
    <xf numFmtId="0" fontId="45" fillId="70" borderId="112">
      <alignment horizontal="center"/>
    </xf>
    <xf numFmtId="0" fontId="45" fillId="70" borderId="11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1">
      <alignment horizontal="center" vertical="center"/>
    </xf>
    <xf numFmtId="0" fontId="256" fillId="127" borderId="111">
      <alignment horizontal="center" vertical="center"/>
    </xf>
    <xf numFmtId="0" fontId="2" fillId="0" borderId="0" applyNumberFormat="0" applyFont="0" applyFill="0" applyBorder="0" applyAlignment="0" applyProtection="0"/>
    <xf numFmtId="0" fontId="256" fillId="127" borderId="112">
      <alignment horizontal="center" vertical="center"/>
    </xf>
    <xf numFmtId="0" fontId="256" fillId="127" borderId="112">
      <alignment horizontal="center" vertical="center"/>
    </xf>
    <xf numFmtId="0" fontId="256" fillId="127" borderId="112">
      <alignment horizontal="center" vertical="center"/>
    </xf>
    <xf numFmtId="0" fontId="256" fillId="127" borderId="112">
      <alignment horizontal="center" vertical="center"/>
    </xf>
    <xf numFmtId="0" fontId="2" fillId="0" borderId="0" applyNumberFormat="0" applyFont="0" applyFill="0" applyBorder="0" applyAlignment="0" applyProtection="0"/>
    <xf numFmtId="0" fontId="256" fillId="99" borderId="110">
      <alignment horizontal="center" vertical="center"/>
    </xf>
    <xf numFmtId="0" fontId="256" fillId="99" borderId="110">
      <alignment horizontal="center" vertical="center"/>
    </xf>
    <xf numFmtId="0" fontId="256" fillId="99" borderId="110">
      <alignment horizontal="center" vertical="center"/>
    </xf>
    <xf numFmtId="0" fontId="256" fillId="99" borderId="11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99" borderId="111">
      <alignment horizontal="center" vertical="center"/>
    </xf>
    <xf numFmtId="0" fontId="256" fillId="99" borderId="111">
      <alignment horizontal="center" vertical="center"/>
    </xf>
    <xf numFmtId="0" fontId="2" fillId="0" borderId="0" applyNumberFormat="0" applyFont="0" applyFill="0" applyBorder="0" applyAlignment="0" applyProtection="0"/>
    <xf numFmtId="0" fontId="256" fillId="99" borderId="112">
      <alignment horizontal="center" vertical="center"/>
    </xf>
    <xf numFmtId="0" fontId="256" fillId="99" borderId="112">
      <alignment horizontal="center" vertical="center"/>
    </xf>
    <xf numFmtId="0" fontId="256" fillId="99" borderId="112">
      <alignment horizontal="center" vertical="center"/>
    </xf>
    <xf numFmtId="0" fontId="256" fillId="99" borderId="11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58"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59" fillId="0" borderId="6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29"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210" fillId="0" borderId="66" applyNumberFormat="0" applyBorder="0" applyAlignment="0" applyProtection="0">
      <alignment horizontal="right"/>
      <protection locked="0"/>
    </xf>
    <xf numFmtId="0" fontId="158" fillId="128" borderId="0" applyNumberFormat="0" applyFont="0" applyBorder="0" applyAlignment="0"/>
    <xf numFmtId="0" fontId="2" fillId="0" borderId="0" applyNumberFormat="0" applyFont="0" applyFill="0" applyBorder="0" applyAlignment="0" applyProtection="0"/>
    <xf numFmtId="3" fontId="2" fillId="74" borderId="109">
      <alignment horizontal="right"/>
      <protection locked="0"/>
    </xf>
    <xf numFmtId="0" fontId="10" fillId="0" borderId="0"/>
    <xf numFmtId="3" fontId="2" fillId="74" borderId="109">
      <alignment horizontal="right"/>
      <protection locked="0"/>
    </xf>
    <xf numFmtId="0" fontId="2" fillId="0" borderId="0" applyNumberFormat="0" applyFont="0" applyFill="0" applyBorder="0" applyAlignment="0" applyProtection="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74" borderId="109">
      <alignment horizontal="right"/>
      <protection locked="0"/>
    </xf>
    <xf numFmtId="0" fontId="10" fillId="0" borderId="0"/>
    <xf numFmtId="259" fontId="2" fillId="74" borderId="109">
      <alignment horizontal="right"/>
      <protection locked="0"/>
    </xf>
    <xf numFmtId="0" fontId="2" fillId="0" borderId="0" applyNumberFormat="0" applyFont="0" applyFill="0" applyBorder="0" applyAlignment="0" applyProtection="0"/>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74" borderId="109" applyFont="0">
      <alignment horizontal="right"/>
      <protection locked="0"/>
    </xf>
    <xf numFmtId="0" fontId="10" fillId="0" borderId="0"/>
    <xf numFmtId="10" fontId="2" fillId="74" borderId="109" applyFont="0">
      <alignment horizontal="right"/>
      <protection locked="0"/>
    </xf>
    <xf numFmtId="0" fontId="2" fillId="0" borderId="0" applyNumberFormat="0" applyFont="0" applyFill="0" applyBorder="0" applyAlignment="0" applyProtection="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4" borderId="109">
      <alignment horizontal="right"/>
      <protection locked="0"/>
    </xf>
    <xf numFmtId="0" fontId="10" fillId="0" borderId="0"/>
    <xf numFmtId="9" fontId="2" fillId="74" borderId="109">
      <alignment horizontal="right"/>
      <protection locked="0"/>
    </xf>
    <xf numFmtId="0" fontId="2" fillId="0" borderId="0" applyNumberFormat="0" applyFont="0" applyFill="0" applyBorder="0" applyAlignment="0" applyProtection="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74" borderId="109">
      <alignment horizontal="center" wrapText="1"/>
    </xf>
    <xf numFmtId="0" fontId="10" fillId="0" borderId="0"/>
    <xf numFmtId="0" fontId="2" fillId="74" borderId="109">
      <alignment horizontal="center" wrapText="1"/>
    </xf>
    <xf numFmtId="0" fontId="2" fillId="0" borderId="0" applyNumberFormat="0" applyFont="0" applyFill="0" applyBorder="0" applyAlignment="0" applyProtection="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74" borderId="109" applyNumberFormat="0" applyFont="0">
      <alignment horizontal="center" wrapText="1"/>
      <protection locked="0"/>
    </xf>
    <xf numFmtId="0" fontId="10" fillId="0" borderId="0"/>
    <xf numFmtId="0" fontId="2" fillId="74" borderId="109" applyNumberFormat="0" applyFont="0">
      <alignment horizontal="center" wrapText="1"/>
      <protection locked="0"/>
    </xf>
    <xf numFmtId="0" fontId="2" fillId="0" borderId="0" applyNumberFormat="0" applyFont="0" applyFill="0" applyBorder="0" applyAlignment="0" applyProtection="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66"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10" fillId="0" borderId="0"/>
    <xf numFmtId="0" fontId="10" fillId="0" borderId="0"/>
    <xf numFmtId="0" fontId="10" fillId="0" borderId="0"/>
    <xf numFmtId="0" fontId="10" fillId="0" borderId="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8" fillId="63" borderId="148" applyNumberFormat="0" applyAlignment="0" applyProtection="0"/>
    <xf numFmtId="0" fontId="68"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8" applyNumberFormat="0" applyAlignment="0" applyProtection="0"/>
    <xf numFmtId="0" fontId="68" fillId="63" borderId="148" applyNumberFormat="0" applyAlignment="0" applyProtection="0"/>
    <xf numFmtId="173" fontId="206" fillId="129" borderId="6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31"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1"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60" fillId="57"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261" fillId="130"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262" fillId="0" borderId="0" applyFill="0" applyBorder="0" applyProtection="0">
      <alignment horizontal="left"/>
    </xf>
    <xf numFmtId="0" fontId="263" fillId="0" borderId="0" applyFill="0" applyBorder="0" applyProtection="0">
      <alignment horizontal="left"/>
    </xf>
    <xf numFmtId="1" fontId="264"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81" fillId="0" borderId="0">
      <alignment horizontal="center"/>
    </xf>
    <xf numFmtId="0" fontId="2" fillId="0" borderId="0" applyNumberFormat="0" applyFont="0" applyFill="0" applyBorder="0" applyAlignment="0" applyProtection="0"/>
    <xf numFmtId="0" fontId="10" fillId="0" borderId="0"/>
    <xf numFmtId="0" fontId="2" fillId="0"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74" borderId="0" applyNumberFormat="0" applyFont="0" applyBorder="0" applyAlignment="0" applyProtection="0"/>
    <xf numFmtId="0" fontId="19" fillId="126" borderId="66" applyNumberFormat="0" applyFont="0" applyBorder="0" applyAlignment="0" applyProtection="0">
      <alignment horizontal="center"/>
    </xf>
    <xf numFmtId="0" fontId="19" fillId="126"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9" fillId="91" borderId="66" applyNumberFormat="0" applyFont="0" applyBorder="0" applyAlignment="0" applyProtection="0">
      <alignment horizontal="center"/>
    </xf>
    <xf numFmtId="0" fontId="19" fillId="91"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33" fillId="0"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0"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NumberFormat="0">
      <alignment horizontal="center" vertical="center"/>
    </xf>
    <xf numFmtId="0" fontId="10" fillId="0" borderId="0"/>
    <xf numFmtId="10" fontId="9" fillId="0" borderId="0" applyFont="0" applyFill="0" applyBorder="0" applyAlignment="0" applyProtection="0"/>
    <xf numFmtId="254"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326"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3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4" fontId="174"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0" borderId="15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26" fillId="0" borderId="0"/>
    <xf numFmtId="0" fontId="2" fillId="0" borderId="0" applyNumberFormat="0" applyFont="0" applyFill="0" applyBorder="0" applyAlignment="0" applyProtection="0"/>
    <xf numFmtId="0" fontId="10" fillId="0" borderId="0"/>
    <xf numFmtId="0" fontId="46" fillId="69" borderId="6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66"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82" fillId="0" borderId="11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5" fontId="227" fillId="0" borderId="0">
      <protection locked="0"/>
    </xf>
    <xf numFmtId="0" fontId="267"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6"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45" fillId="87" borderId="6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7" fontId="268" fillId="0" borderId="0" applyNumberFormat="0" applyFill="0" applyBorder="0" applyAlignment="0" applyProtection="0"/>
    <xf numFmtId="294" fontId="268" fillId="0" borderId="0" applyNumberFormat="0" applyFill="0" applyBorder="0" applyAlignment="0" applyProtection="0"/>
    <xf numFmtId="3" fontId="182" fillId="0" borderId="118">
      <alignment vertical="center"/>
    </xf>
    <xf numFmtId="0" fontId="10" fillId="0" borderId="0"/>
    <xf numFmtId="0" fontId="150" fillId="106"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37"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8" fontId="172" fillId="0" borderId="0"/>
    <xf numFmtId="0" fontId="10" fillId="0" borderId="0"/>
    <xf numFmtId="38" fontId="269" fillId="0" borderId="0">
      <alignment horizontal="center"/>
    </xf>
    <xf numFmtId="0" fontId="10" fillId="0" borderId="0"/>
    <xf numFmtId="0" fontId="270" fillId="45" borderId="109"/>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165" fontId="271" fillId="0" borderId="0">
      <alignment horizontal="right"/>
    </xf>
    <xf numFmtId="0" fontId="10" fillId="0" borderId="0"/>
    <xf numFmtId="0" fontId="2" fillId="0" borderId="15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73" fillId="134" borderId="0"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45" fillId="128" borderId="15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28" borderId="156" applyNumberFormat="0" applyProtection="0">
      <alignment horizontal="left" vertical="center" indent="1"/>
    </xf>
    <xf numFmtId="0" fontId="45" fillId="128" borderId="156" applyNumberFormat="0" applyProtection="0">
      <alignment horizontal="left" vertical="center" indent="1"/>
    </xf>
    <xf numFmtId="0" fontId="2" fillId="0" borderId="0" applyNumberFormat="0" applyFont="0" applyFill="0" applyBorder="0" applyAlignment="0" applyProtection="0"/>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339" fontId="29" fillId="126" borderId="156" applyProtection="0">
      <alignment horizontal="right" vertical="center"/>
    </xf>
    <xf numFmtId="339" fontId="29" fillId="126" borderId="15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9" fillId="126" borderId="156" applyProtection="0">
      <alignment horizontal="right" vertical="center"/>
    </xf>
    <xf numFmtId="339" fontId="29" fillId="126" borderId="156" applyProtection="0">
      <alignment horizontal="right" vertical="center"/>
    </xf>
    <xf numFmtId="339" fontId="29" fillId="126" borderId="15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74" fillId="0" borderId="0"/>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275" fillId="0" borderId="0"/>
    <xf numFmtId="340" fontId="133" fillId="0" borderId="0"/>
    <xf numFmtId="341" fontId="133" fillId="0" borderId="0"/>
    <xf numFmtId="0" fontId="183" fillId="0" borderId="24"/>
    <xf numFmtId="0" fontId="276" fillId="71" borderId="9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7" fillId="136" borderId="0"/>
    <xf numFmtId="0" fontId="278" fillId="136" borderId="0"/>
    <xf numFmtId="0" fontId="279" fillId="136" borderId="157">
      <alignment horizontal="right"/>
    </xf>
    <xf numFmtId="0" fontId="279" fillId="136" borderId="0"/>
    <xf numFmtId="0" fontId="277" fillId="69" borderId="157">
      <protection locked="0"/>
    </xf>
    <xf numFmtId="0" fontId="277" fillId="136" borderId="0"/>
    <xf numFmtId="0" fontId="280" fillId="71" borderId="0"/>
    <xf numFmtId="0" fontId="280" fillId="93" borderId="0"/>
    <xf numFmtId="0" fontId="280" fillId="94" borderId="0"/>
    <xf numFmtId="38" fontId="9" fillId="0" borderId="0" applyFont="0" applyFill="0" applyBorder="0" applyAlignment="0" applyProtection="0"/>
    <xf numFmtId="342" fontId="2" fillId="0" borderId="0" applyFont="0" applyFill="0" applyBorder="0" applyAlignment="0" applyProtection="0"/>
    <xf numFmtId="40" fontId="9" fillId="0" borderId="0" applyFont="0" applyFill="0" applyBorder="0" applyAlignment="0" applyProtection="0"/>
    <xf numFmtId="343"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4" fontId="271" fillId="0" borderId="0">
      <alignment horizontal="right"/>
    </xf>
    <xf numFmtId="0" fontId="204" fillId="0" borderId="0"/>
    <xf numFmtId="164" fontId="174" fillId="137" borderId="0" applyNumberFormat="0" applyFont="0"/>
    <xf numFmtId="0" fontId="133" fillId="138" borderId="0" applyNumberFormat="0" applyFont="0" applyBorder="0" applyAlignment="0" applyProtection="0"/>
    <xf numFmtId="345" fontId="281" fillId="0" borderId="0" applyFont="0" applyFill="0" applyBorder="0" applyAlignment="0" applyProtection="0"/>
    <xf numFmtId="1" fontId="2" fillId="0" borderId="0"/>
    <xf numFmtId="346" fontId="2" fillId="69" borderId="109">
      <alignment horizontal="center"/>
    </xf>
    <xf numFmtId="0" fontId="10" fillId="0" borderId="0"/>
    <xf numFmtId="346" fontId="2" fillId="69" borderId="109">
      <alignment horizontal="center"/>
    </xf>
    <xf numFmtId="0" fontId="2" fillId="0" borderId="0" applyNumberFormat="0" applyFont="0" applyFill="0" applyBorder="0" applyAlignment="0" applyProtection="0"/>
    <xf numFmtId="346" fontId="2" fillId="69" borderId="109">
      <alignment horizontal="center"/>
    </xf>
    <xf numFmtId="346" fontId="2" fillId="69" borderId="109">
      <alignment horizontal="center"/>
    </xf>
    <xf numFmtId="346" fontId="2" fillId="69" borderId="109">
      <alignment horizontal="center"/>
    </xf>
    <xf numFmtId="346" fontId="2" fillId="69" borderId="109">
      <alignment horizontal="center"/>
    </xf>
    <xf numFmtId="3" fontId="182" fillId="0" borderId="118">
      <alignment vertical="center"/>
    </xf>
    <xf numFmtId="0" fontId="2" fillId="0" borderId="0" applyNumberFormat="0" applyFont="0" applyFill="0" applyBorder="0" applyAlignment="0" applyProtection="0"/>
    <xf numFmtId="0" fontId="10" fillId="0" borderId="0"/>
    <xf numFmtId="346" fontId="2" fillId="69" borderId="109">
      <alignment horizontal="center"/>
    </xf>
    <xf numFmtId="346" fontId="2" fillId="69" borderId="109">
      <alignment horizontal="center"/>
    </xf>
    <xf numFmtId="346" fontId="2" fillId="69" borderId="109">
      <alignment horizontal="center"/>
    </xf>
    <xf numFmtId="346" fontId="2" fillId="69" borderId="109">
      <alignment horizontal="center"/>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 fillId="69" borderId="109" applyFont="0">
      <alignment horizontal="right"/>
    </xf>
    <xf numFmtId="0" fontId="10" fillId="0" borderId="0"/>
    <xf numFmtId="3" fontId="2" fillId="69" borderId="109"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87" fontId="2" fillId="69" borderId="109" applyFont="0">
      <alignment horizontal="right"/>
    </xf>
    <xf numFmtId="0" fontId="10" fillId="0" borderId="0"/>
    <xf numFmtId="187" fontId="2" fillId="69" borderId="109" applyFont="0">
      <alignment horizontal="right"/>
    </xf>
    <xf numFmtId="0" fontId="2" fillId="0" borderId="0" applyNumberFormat="0" applyFont="0" applyFill="0" applyBorder="0" applyAlignment="0" applyProtection="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69" borderId="109" applyFont="0">
      <alignment horizontal="right"/>
    </xf>
    <xf numFmtId="0" fontId="10" fillId="0" borderId="0"/>
    <xf numFmtId="259" fontId="2" fillId="69" borderId="109" applyFont="0">
      <alignment horizontal="right"/>
    </xf>
    <xf numFmtId="0" fontId="2" fillId="0" borderId="0" applyNumberFormat="0" applyFont="0" applyFill="0" applyBorder="0" applyAlignment="0" applyProtection="0"/>
    <xf numFmtId="259" fontId="2" fillId="69" borderId="109" applyFont="0">
      <alignment horizontal="right"/>
    </xf>
    <xf numFmtId="259" fontId="2" fillId="69" borderId="109" applyFont="0">
      <alignment horizontal="right"/>
    </xf>
    <xf numFmtId="259" fontId="2" fillId="69" borderId="109" applyFont="0">
      <alignment horizontal="right"/>
    </xf>
    <xf numFmtId="25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259" fontId="2" fillId="69" borderId="109" applyFont="0">
      <alignment horizontal="right"/>
    </xf>
    <xf numFmtId="259" fontId="2" fillId="69" borderId="109" applyFont="0">
      <alignment horizontal="right"/>
    </xf>
    <xf numFmtId="259" fontId="2" fillId="69" borderId="109" applyFont="0">
      <alignment horizontal="right"/>
    </xf>
    <xf numFmtId="25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69" borderId="109" applyFont="0">
      <alignment horizontal="right"/>
    </xf>
    <xf numFmtId="0" fontId="10" fillId="0" borderId="0"/>
    <xf numFmtId="10" fontId="2" fillId="69" borderId="109" applyFont="0">
      <alignment horizontal="right"/>
    </xf>
    <xf numFmtId="0" fontId="2" fillId="0" borderId="0" applyNumberFormat="0" applyFont="0" applyFill="0" applyBorder="0" applyAlignment="0" applyProtection="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69" borderId="109" applyFont="0">
      <alignment horizontal="right"/>
    </xf>
    <xf numFmtId="0" fontId="10" fillId="0" borderId="0"/>
    <xf numFmtId="9" fontId="2" fillId="69" borderId="109" applyFont="0">
      <alignment horizontal="right"/>
    </xf>
    <xf numFmtId="0" fontId="2" fillId="0" borderId="0" applyNumberFormat="0" applyFont="0" applyFill="0" applyBorder="0" applyAlignment="0" applyProtection="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47" fontId="2" fillId="69" borderId="109" applyFont="0">
      <alignment horizontal="center" wrapText="1"/>
    </xf>
    <xf numFmtId="0" fontId="10" fillId="0" borderId="0"/>
    <xf numFmtId="347" fontId="2" fillId="69" borderId="109" applyFont="0">
      <alignment horizontal="center" wrapText="1"/>
    </xf>
    <xf numFmtId="0" fontId="2" fillId="0" borderId="0" applyNumberFormat="0" applyFont="0" applyFill="0" applyBorder="0" applyAlignment="0" applyProtection="0"/>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65" fontId="282"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83" fillId="100" borderId="158" applyNumberFormat="0" applyBorder="0">
      <alignment horizontal="centerContinuous"/>
    </xf>
    <xf numFmtId="0" fontId="283" fillId="100" borderId="158" applyNumberFormat="0" applyBorder="0">
      <alignment horizontal="centerContinuous"/>
    </xf>
    <xf numFmtId="0" fontId="283" fillId="100" borderId="158" applyNumberFormat="0" applyBorder="0">
      <alignment horizontal="centerContinuous"/>
    </xf>
    <xf numFmtId="0" fontId="283" fillId="100" borderId="158" applyNumberFormat="0" applyBorder="0">
      <alignment horizontal="centerContinuous"/>
    </xf>
    <xf numFmtId="38" fontId="146" fillId="0" borderId="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299" fontId="2" fillId="0" borderId="0" applyFont="0" applyFill="0" applyBorder="0" applyAlignment="0" applyProtection="0"/>
    <xf numFmtId="299" fontId="2"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4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45" fillId="0" borderId="0" applyNumberFormat="0"/>
    <xf numFmtId="0" fontId="10" fillId="0" borderId="0"/>
    <xf numFmtId="165" fontId="284"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1" applyBorder="0"/>
    <xf numFmtId="3" fontId="2" fillId="68" borderId="111" applyBorder="0"/>
    <xf numFmtId="3" fontId="2" fillId="68" borderId="111" applyBorder="0"/>
    <xf numFmtId="3" fontId="2" fillId="68" borderId="111" applyBorder="0"/>
    <xf numFmtId="3" fontId="2" fillId="68" borderId="111" applyBorder="0"/>
    <xf numFmtId="0" fontId="10" fillId="0" borderId="0"/>
    <xf numFmtId="220" fontId="133" fillId="10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4" fontId="8" fillId="0" borderId="0" applyFont="0" applyFill="0" applyBorder="0" applyAlignment="0" applyProtection="0"/>
    <xf numFmtId="0" fontId="10" fillId="0" borderId="0"/>
    <xf numFmtId="0" fontId="285" fillId="0" borderId="0"/>
    <xf numFmtId="343"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86" fillId="0" borderId="6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32" fontId="284" fillId="68" borderId="0">
      <alignment horizontal="center"/>
    </xf>
    <xf numFmtId="0" fontId="2" fillId="0" borderId="0" applyNumberFormat="0" applyFont="0" applyFill="0" applyBorder="0" applyAlignment="0" applyProtection="0"/>
    <xf numFmtId="0" fontId="10" fillId="0" borderId="0"/>
    <xf numFmtId="235" fontId="284"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63" fillId="0" borderId="0"/>
    <xf numFmtId="40" fontId="287" fillId="0" borderId="0" applyBorder="0">
      <alignment horizontal="right"/>
    </xf>
    <xf numFmtId="0" fontId="288" fillId="0" borderId="0" applyNumberFormat="0" applyFont="0" applyBorder="0" applyAlignment="0">
      <alignment horizontal="left"/>
    </xf>
    <xf numFmtId="0" fontId="133" fillId="0" borderId="109" applyNumberFormat="0" applyFont="0" applyFill="0" applyBorder="0" applyAlignment="0">
      <protection hidden="1"/>
    </xf>
    <xf numFmtId="0" fontId="10" fillId="0" borderId="0"/>
    <xf numFmtId="0" fontId="133" fillId="0" borderId="109" applyNumberFormat="0" applyFont="0" applyFill="0" applyBorder="0" applyAlignment="0">
      <protection hidden="1"/>
    </xf>
    <xf numFmtId="0" fontId="10" fillId="0" borderId="0"/>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3" fontId="182" fillId="0" borderId="118">
      <alignment vertical="center"/>
    </xf>
    <xf numFmtId="0" fontId="2" fillId="0" borderId="0" applyNumberFormat="0" applyFont="0" applyFill="0" applyBorder="0" applyAlignment="0" applyProtection="0"/>
    <xf numFmtId="0" fontId="10" fillId="0" borderId="0"/>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 fontId="2" fillId="139" borderId="109" applyFont="0">
      <alignment horizontal="right"/>
    </xf>
    <xf numFmtId="0" fontId="10" fillId="0" borderId="0"/>
    <xf numFmtId="1" fontId="2" fillId="139" borderId="109" applyFont="0">
      <alignment horizontal="right"/>
    </xf>
    <xf numFmtId="0" fontId="2" fillId="0" borderId="0" applyNumberFormat="0" applyFont="0" applyFill="0" applyBorder="0" applyAlignment="0" applyProtection="0"/>
    <xf numFmtId="1" fontId="2" fillId="139" borderId="109" applyFont="0">
      <alignment horizontal="right"/>
    </xf>
    <xf numFmtId="1" fontId="2" fillId="139" borderId="109" applyFont="0">
      <alignment horizontal="right"/>
    </xf>
    <xf numFmtId="1" fontId="2" fillId="139" borderId="109" applyFont="0">
      <alignment horizontal="right"/>
    </xf>
    <xf numFmtId="1"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 fontId="2" fillId="139" borderId="109" applyFont="0">
      <alignment horizontal="right"/>
    </xf>
    <xf numFmtId="1" fontId="2" fillId="139" borderId="109" applyFont="0">
      <alignment horizontal="right"/>
    </xf>
    <xf numFmtId="1" fontId="2" fillId="139" borderId="109" applyFont="0">
      <alignment horizontal="right"/>
    </xf>
    <xf numFmtId="1"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3" fontId="2" fillId="139" borderId="109" applyFont="0"/>
    <xf numFmtId="0" fontId="10" fillId="0" borderId="0"/>
    <xf numFmtId="303" fontId="2" fillId="139" borderId="109" applyFont="0"/>
    <xf numFmtId="0" fontId="2" fillId="0" borderId="0" applyNumberFormat="0" applyFont="0" applyFill="0" applyBorder="0" applyAlignment="0" applyProtection="0"/>
    <xf numFmtId="303" fontId="2" fillId="139" borderId="109" applyFont="0"/>
    <xf numFmtId="303" fontId="2" fillId="139" borderId="109" applyFont="0"/>
    <xf numFmtId="303" fontId="2" fillId="139" borderId="109" applyFont="0"/>
    <xf numFmtId="303" fontId="2" fillId="139"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139" borderId="109" applyFont="0"/>
    <xf numFmtId="303" fontId="2" fillId="139" borderId="109" applyFont="0"/>
    <xf numFmtId="303" fontId="2" fillId="139" borderId="109" applyFont="0"/>
    <xf numFmtId="303" fontId="2" fillId="139"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139" borderId="109" applyFont="0">
      <alignment horizontal="right"/>
    </xf>
    <xf numFmtId="0" fontId="10" fillId="0" borderId="0"/>
    <xf numFmtId="9" fontId="2" fillId="139" borderId="109" applyFont="0">
      <alignment horizontal="right"/>
    </xf>
    <xf numFmtId="0" fontId="2" fillId="0" borderId="0" applyNumberFormat="0" applyFont="0" applyFill="0" applyBorder="0" applyAlignment="0" applyProtection="0"/>
    <xf numFmtId="9" fontId="2" fillId="139" borderId="109" applyFont="0">
      <alignment horizontal="right"/>
    </xf>
    <xf numFmtId="9" fontId="2" fillId="139" borderId="109" applyFont="0">
      <alignment horizontal="right"/>
    </xf>
    <xf numFmtId="9" fontId="2" fillId="139" borderId="109" applyFont="0">
      <alignment horizontal="right"/>
    </xf>
    <xf numFmtId="9"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139" borderId="109" applyFont="0">
      <alignment horizontal="right"/>
    </xf>
    <xf numFmtId="9" fontId="2" fillId="139" borderId="109" applyFont="0">
      <alignment horizontal="right"/>
    </xf>
    <xf numFmtId="9" fontId="2" fillId="139" borderId="109" applyFont="0">
      <alignment horizontal="right"/>
    </xf>
    <xf numFmtId="9"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0" fontId="2" fillId="139" borderId="109" applyFont="0">
      <alignment horizontal="right"/>
    </xf>
    <xf numFmtId="0" fontId="10" fillId="0" borderId="0"/>
    <xf numFmtId="330" fontId="2" fillId="139" borderId="109" applyFont="0">
      <alignment horizontal="right"/>
    </xf>
    <xf numFmtId="0" fontId="2" fillId="0" borderId="0" applyNumberFormat="0" applyFont="0" applyFill="0" applyBorder="0" applyAlignment="0" applyProtection="0"/>
    <xf numFmtId="330" fontId="2" fillId="139" borderId="109" applyFont="0">
      <alignment horizontal="right"/>
    </xf>
    <xf numFmtId="330" fontId="2" fillId="139" borderId="109" applyFont="0">
      <alignment horizontal="right"/>
    </xf>
    <xf numFmtId="330" fontId="2" fillId="139" borderId="109" applyFont="0">
      <alignment horizontal="right"/>
    </xf>
    <xf numFmtId="33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30" fontId="2" fillId="139" borderId="109" applyFont="0">
      <alignment horizontal="right"/>
    </xf>
    <xf numFmtId="330" fontId="2" fillId="139" borderId="109" applyFont="0">
      <alignment horizontal="right"/>
    </xf>
    <xf numFmtId="330" fontId="2" fillId="139" borderId="109" applyFont="0">
      <alignment horizontal="right"/>
    </xf>
    <xf numFmtId="33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139" borderId="109" applyFont="0">
      <alignment horizontal="right"/>
    </xf>
    <xf numFmtId="0" fontId="10" fillId="0" borderId="0"/>
    <xf numFmtId="10" fontId="2" fillId="139" borderId="109" applyFont="0">
      <alignment horizontal="right"/>
    </xf>
    <xf numFmtId="0" fontId="2" fillId="0" borderId="0" applyNumberFormat="0" applyFont="0" applyFill="0" applyBorder="0" applyAlignment="0" applyProtection="0"/>
    <xf numFmtId="10" fontId="2" fillId="139" borderId="109" applyFont="0">
      <alignment horizontal="right"/>
    </xf>
    <xf numFmtId="10" fontId="2" fillId="139" borderId="109" applyFont="0">
      <alignment horizontal="right"/>
    </xf>
    <xf numFmtId="10" fontId="2" fillId="139" borderId="109" applyFont="0">
      <alignment horizontal="right"/>
    </xf>
    <xf numFmtId="1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139" borderId="109" applyFont="0">
      <alignment horizontal="right"/>
    </xf>
    <xf numFmtId="10" fontId="2" fillId="139" borderId="109" applyFont="0">
      <alignment horizontal="right"/>
    </xf>
    <xf numFmtId="10" fontId="2" fillId="139" borderId="109" applyFont="0">
      <alignment horizontal="right"/>
    </xf>
    <xf numFmtId="1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139" borderId="109" applyFont="0">
      <alignment horizontal="center" wrapText="1"/>
    </xf>
    <xf numFmtId="0" fontId="10" fillId="0" borderId="0"/>
    <xf numFmtId="0" fontId="2" fillId="139" borderId="109" applyFont="0">
      <alignment horizontal="center" wrapText="1"/>
    </xf>
    <xf numFmtId="0" fontId="2" fillId="0" borderId="0" applyNumberFormat="0" applyFont="0" applyFill="0" applyBorder="0" applyAlignment="0" applyProtection="0"/>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139" borderId="109" applyFont="0"/>
    <xf numFmtId="0" fontId="10" fillId="0" borderId="0"/>
    <xf numFmtId="0" fontId="10" fillId="0" borderId="0"/>
    <xf numFmtId="3" fontId="182" fillId="0" borderId="118">
      <alignment vertical="center"/>
    </xf>
    <xf numFmtId="0" fontId="10" fillId="0" borderId="0"/>
    <xf numFmtId="0" fontId="10" fillId="0" borderId="0"/>
    <xf numFmtId="49" fontId="2" fillId="139" borderId="109" applyFont="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303" fontId="2" fillId="140" borderId="109" applyFont="0"/>
    <xf numFmtId="0" fontId="10" fillId="0" borderId="0"/>
    <xf numFmtId="303" fontId="2" fillId="140" borderId="109" applyFont="0"/>
    <xf numFmtId="0" fontId="2" fillId="0" borderId="0" applyNumberFormat="0" applyFont="0" applyFill="0" applyBorder="0" applyAlignment="0" applyProtection="0"/>
    <xf numFmtId="303" fontId="2" fillId="140" borderId="109" applyFont="0"/>
    <xf numFmtId="303" fontId="2" fillId="140" borderId="109" applyFont="0"/>
    <xf numFmtId="303" fontId="2" fillId="140" borderId="109" applyFont="0"/>
    <xf numFmtId="303" fontId="2" fillId="140"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140" borderId="109" applyFont="0"/>
    <xf numFmtId="303" fontId="2" fillId="140" borderId="109" applyFont="0"/>
    <xf numFmtId="303" fontId="2" fillId="140" borderId="109" applyFont="0"/>
    <xf numFmtId="303" fontId="2" fillId="140"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140" borderId="109" applyFont="0">
      <alignment horizontal="right"/>
    </xf>
    <xf numFmtId="0" fontId="10" fillId="0" borderId="0"/>
    <xf numFmtId="9" fontId="2" fillId="140" borderId="109" applyFont="0">
      <alignment horizontal="right"/>
    </xf>
    <xf numFmtId="0" fontId="2" fillId="0" borderId="0" applyNumberFormat="0" applyFont="0" applyFill="0" applyBorder="0" applyAlignment="0" applyProtection="0"/>
    <xf numFmtId="9" fontId="2" fillId="140" borderId="109" applyFont="0">
      <alignment horizontal="right"/>
    </xf>
    <xf numFmtId="9" fontId="2" fillId="140" borderId="109" applyFont="0">
      <alignment horizontal="right"/>
    </xf>
    <xf numFmtId="9" fontId="2" fillId="140" borderId="109" applyFont="0">
      <alignment horizontal="right"/>
    </xf>
    <xf numFmtId="9" fontId="2" fillId="140"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140" borderId="109" applyFont="0">
      <alignment horizontal="right"/>
    </xf>
    <xf numFmtId="9" fontId="2" fillId="140" borderId="109" applyFont="0">
      <alignment horizontal="right"/>
    </xf>
    <xf numFmtId="9" fontId="2" fillId="140" borderId="109" applyFont="0">
      <alignment horizontal="right"/>
    </xf>
    <xf numFmtId="9" fontId="2" fillId="140"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10" fontId="2" fillId="141" borderId="109">
      <alignment vertical="center"/>
    </xf>
    <xf numFmtId="310" fontId="2" fillId="141" borderId="109">
      <alignment vertical="center"/>
    </xf>
    <xf numFmtId="310" fontId="2" fillId="141" borderId="109">
      <alignment vertical="center"/>
    </xf>
    <xf numFmtId="310" fontId="2" fillId="141" borderId="109">
      <alignment vertical="center"/>
    </xf>
    <xf numFmtId="310" fontId="2" fillId="141" borderId="109">
      <alignment vertical="center"/>
    </xf>
    <xf numFmtId="303" fontId="2" fillId="88" borderId="109" applyFont="0">
      <alignment horizontal="right"/>
    </xf>
    <xf numFmtId="0" fontId="10" fillId="0" borderId="0"/>
    <xf numFmtId="303" fontId="2" fillId="88" borderId="109" applyFont="0">
      <alignment horizontal="right"/>
    </xf>
    <xf numFmtId="0" fontId="2" fillId="0" borderId="0" applyNumberFormat="0" applyFont="0" applyFill="0" applyBorder="0" applyAlignment="0" applyProtection="0"/>
    <xf numFmtId="303" fontId="2" fillId="88" borderId="109" applyFont="0">
      <alignment horizontal="right"/>
    </xf>
    <xf numFmtId="303" fontId="2" fillId="88" borderId="109" applyFont="0">
      <alignment horizontal="right"/>
    </xf>
    <xf numFmtId="303" fontId="2" fillId="88" borderId="109" applyFont="0">
      <alignment horizontal="right"/>
    </xf>
    <xf numFmtId="303"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03" fontId="2" fillId="88" borderId="109" applyFont="0">
      <alignment horizontal="right"/>
    </xf>
    <xf numFmtId="303" fontId="2" fillId="88" borderId="109" applyFont="0">
      <alignment horizontal="right"/>
    </xf>
    <xf numFmtId="303" fontId="2" fillId="88" borderId="109" applyFont="0">
      <alignment horizontal="right"/>
    </xf>
    <xf numFmtId="303"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 fontId="2" fillId="88" borderId="109" applyFont="0">
      <alignment horizontal="right"/>
    </xf>
    <xf numFmtId="0" fontId="10" fillId="0" borderId="0"/>
    <xf numFmtId="1" fontId="2" fillId="88" borderId="109" applyFont="0">
      <alignment horizontal="right"/>
    </xf>
    <xf numFmtId="0" fontId="2" fillId="0" borderId="0" applyNumberFormat="0" applyFont="0" applyFill="0" applyBorder="0" applyAlignment="0" applyProtection="0"/>
    <xf numFmtId="1" fontId="2" fillId="88" borderId="109" applyFont="0">
      <alignment horizontal="right"/>
    </xf>
    <xf numFmtId="1" fontId="2" fillId="88" borderId="109" applyFont="0">
      <alignment horizontal="right"/>
    </xf>
    <xf numFmtId="1" fontId="2" fillId="88" borderId="109" applyFont="0">
      <alignment horizontal="right"/>
    </xf>
    <xf numFmtId="1"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 fontId="2" fillId="88" borderId="109" applyFont="0">
      <alignment horizontal="right"/>
    </xf>
    <xf numFmtId="1" fontId="2" fillId="88" borderId="109" applyFont="0">
      <alignment horizontal="right"/>
    </xf>
    <xf numFmtId="1" fontId="2" fillId="88" borderId="109" applyFont="0">
      <alignment horizontal="right"/>
    </xf>
    <xf numFmtId="1"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3" fontId="2" fillId="88" borderId="109" applyFont="0"/>
    <xf numFmtId="0" fontId="10" fillId="0" borderId="0"/>
    <xf numFmtId="303" fontId="2" fillId="88" borderId="109" applyFont="0"/>
    <xf numFmtId="0" fontId="2" fillId="0" borderId="0" applyNumberFormat="0" applyFont="0" applyFill="0" applyBorder="0" applyAlignment="0" applyProtection="0"/>
    <xf numFmtId="303" fontId="2" fillId="88" borderId="109" applyFont="0"/>
    <xf numFmtId="303" fontId="2" fillId="88" borderId="109" applyFont="0"/>
    <xf numFmtId="303" fontId="2" fillId="88" borderId="109" applyFont="0"/>
    <xf numFmtId="303"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88" borderId="109" applyFont="0"/>
    <xf numFmtId="303" fontId="2" fillId="88" borderId="109" applyFont="0"/>
    <xf numFmtId="303" fontId="2" fillId="88" borderId="109" applyFont="0"/>
    <xf numFmtId="303"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88" borderId="109" applyFont="0"/>
    <xf numFmtId="0" fontId="10" fillId="0" borderId="0"/>
    <xf numFmtId="259" fontId="2" fillId="88" borderId="109" applyFont="0"/>
    <xf numFmtId="0" fontId="2" fillId="0" borderId="0" applyNumberFormat="0" applyFont="0" applyFill="0" applyBorder="0" applyAlignment="0" applyProtection="0"/>
    <xf numFmtId="259" fontId="2" fillId="88" borderId="109" applyFont="0"/>
    <xf numFmtId="259" fontId="2" fillId="88" borderId="109" applyFont="0"/>
    <xf numFmtId="259" fontId="2" fillId="88" borderId="109" applyFont="0"/>
    <xf numFmtId="259"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259" fontId="2" fillId="88" borderId="109" applyFont="0"/>
    <xf numFmtId="259" fontId="2" fillId="88" borderId="109" applyFont="0"/>
    <xf numFmtId="259" fontId="2" fillId="88" borderId="109" applyFont="0"/>
    <xf numFmtId="259"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88" borderId="109" applyFont="0">
      <alignment horizontal="right"/>
    </xf>
    <xf numFmtId="0" fontId="10" fillId="0" borderId="0"/>
    <xf numFmtId="10" fontId="2" fillId="88" borderId="109" applyFont="0">
      <alignment horizontal="right"/>
    </xf>
    <xf numFmtId="0" fontId="2" fillId="0" borderId="0" applyNumberFormat="0" applyFont="0" applyFill="0" applyBorder="0" applyAlignment="0" applyProtection="0"/>
    <xf numFmtId="10" fontId="2" fillId="88" borderId="109" applyFont="0">
      <alignment horizontal="right"/>
    </xf>
    <xf numFmtId="10" fontId="2" fillId="88" borderId="109" applyFont="0">
      <alignment horizontal="right"/>
    </xf>
    <xf numFmtId="10" fontId="2" fillId="88" borderId="109" applyFont="0">
      <alignment horizontal="right"/>
    </xf>
    <xf numFmtId="1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88" borderId="109" applyFont="0">
      <alignment horizontal="right"/>
    </xf>
    <xf numFmtId="10" fontId="2" fillId="88" borderId="109" applyFont="0">
      <alignment horizontal="right"/>
    </xf>
    <xf numFmtId="10" fontId="2" fillId="88" borderId="109" applyFont="0">
      <alignment horizontal="right"/>
    </xf>
    <xf numFmtId="1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88" borderId="109" applyFont="0">
      <alignment horizontal="right"/>
    </xf>
    <xf numFmtId="0" fontId="10" fillId="0" borderId="0"/>
    <xf numFmtId="9" fontId="2" fillId="88" borderId="109" applyFont="0">
      <alignment horizontal="right"/>
    </xf>
    <xf numFmtId="0" fontId="2" fillId="0" borderId="0" applyNumberFormat="0" applyFont="0" applyFill="0" applyBorder="0" applyAlignment="0" applyProtection="0"/>
    <xf numFmtId="9" fontId="2" fillId="88" borderId="109" applyFont="0">
      <alignment horizontal="right"/>
    </xf>
    <xf numFmtId="9" fontId="2" fillId="88" borderId="109" applyFont="0">
      <alignment horizontal="right"/>
    </xf>
    <xf numFmtId="9" fontId="2" fillId="88" borderId="109" applyFont="0">
      <alignment horizontal="right"/>
    </xf>
    <xf numFmtId="9"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88" borderId="109" applyFont="0">
      <alignment horizontal="right"/>
    </xf>
    <xf numFmtId="9" fontId="2" fillId="88" borderId="109" applyFont="0">
      <alignment horizontal="right"/>
    </xf>
    <xf numFmtId="9" fontId="2" fillId="88" borderId="109" applyFont="0">
      <alignment horizontal="right"/>
    </xf>
    <xf numFmtId="9"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0" fontId="2" fillId="88" borderId="109" applyFont="0">
      <alignment horizontal="right"/>
    </xf>
    <xf numFmtId="0" fontId="10" fillId="0" borderId="0"/>
    <xf numFmtId="330" fontId="2" fillId="88" borderId="109" applyFont="0">
      <alignment horizontal="right"/>
    </xf>
    <xf numFmtId="0" fontId="2" fillId="0" borderId="0" applyNumberFormat="0" applyFont="0" applyFill="0" applyBorder="0" applyAlignment="0" applyProtection="0"/>
    <xf numFmtId="330" fontId="2" fillId="88" borderId="109" applyFont="0">
      <alignment horizontal="right"/>
    </xf>
    <xf numFmtId="330" fontId="2" fillId="88" borderId="109" applyFont="0">
      <alignment horizontal="right"/>
    </xf>
    <xf numFmtId="330" fontId="2" fillId="88" borderId="109" applyFont="0">
      <alignment horizontal="right"/>
    </xf>
    <xf numFmtId="33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30" fontId="2" fillId="88" borderId="109" applyFont="0">
      <alignment horizontal="right"/>
    </xf>
    <xf numFmtId="330" fontId="2" fillId="88" borderId="109" applyFont="0">
      <alignment horizontal="right"/>
    </xf>
    <xf numFmtId="330" fontId="2" fillId="88" borderId="109" applyFont="0">
      <alignment horizontal="right"/>
    </xf>
    <xf numFmtId="33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88" borderId="112"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88" borderId="112" applyFont="0">
      <alignment horizontal="right"/>
    </xf>
    <xf numFmtId="0" fontId="2" fillId="0" borderId="0" applyNumberFormat="0" applyFont="0" applyFill="0" applyBorder="0" applyAlignment="0" applyProtection="0"/>
    <xf numFmtId="10" fontId="2" fillId="88" borderId="112" applyFont="0">
      <alignment horizontal="right"/>
    </xf>
    <xf numFmtId="10" fontId="2" fillId="88" borderId="112" applyFont="0">
      <alignment horizontal="right"/>
    </xf>
    <xf numFmtId="10" fontId="2" fillId="88" borderId="112" applyFont="0">
      <alignment horizontal="right"/>
    </xf>
    <xf numFmtId="10" fontId="2" fillId="88" borderId="112"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88" borderId="112" applyFont="0">
      <alignment horizontal="right"/>
    </xf>
    <xf numFmtId="10" fontId="2" fillId="88" borderId="112" applyFont="0">
      <alignment horizontal="right"/>
    </xf>
    <xf numFmtId="10" fontId="2" fillId="88" borderId="112" applyFont="0">
      <alignment horizontal="right"/>
    </xf>
    <xf numFmtId="10" fontId="2" fillId="88" borderId="112"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88" borderId="109" applyFont="0">
      <alignment horizontal="center" wrapText="1"/>
      <protection locked="0"/>
    </xf>
    <xf numFmtId="0" fontId="10" fillId="0" borderId="0"/>
    <xf numFmtId="0" fontId="2" fillId="88" borderId="109" applyFont="0">
      <alignment horizontal="center" wrapText="1"/>
      <protection locked="0"/>
    </xf>
    <xf numFmtId="0" fontId="2" fillId="0" borderId="0" applyNumberFormat="0" applyFont="0" applyFill="0" applyBorder="0" applyAlignment="0" applyProtection="0"/>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88" borderId="109" applyFont="0"/>
    <xf numFmtId="0" fontId="10" fillId="0" borderId="0"/>
    <xf numFmtId="0" fontId="10" fillId="0" borderId="0"/>
    <xf numFmtId="3" fontId="182" fillId="0" borderId="118">
      <alignment vertical="center"/>
    </xf>
    <xf numFmtId="0" fontId="10" fillId="0" borderId="0"/>
    <xf numFmtId="0" fontId="10" fillId="0" borderId="0"/>
    <xf numFmtId="49" fontId="2" fillId="88" borderId="109" applyFont="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89" fillId="0" borderId="159" applyNumberFormat="0" applyAlignment="0" applyProtection="0"/>
    <xf numFmtId="0" fontId="290" fillId="0" borderId="15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Alignment="0" applyProtection="0"/>
    <xf numFmtId="0" fontId="291" fillId="0" borderId="0" applyNumberFormat="0" applyFill="0" applyBorder="0" applyProtection="0"/>
    <xf numFmtId="0" fontId="292" fillId="0" borderId="0" applyNumberFormat="0" applyFill="0" applyBorder="0" applyProtection="0">
      <alignment vertical="top"/>
    </xf>
    <xf numFmtId="0" fontId="293" fillId="0" borderId="111"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111" applyNumberFormat="0" applyProtection="0">
      <alignment horizontal="left" vertical="top"/>
    </xf>
    <xf numFmtId="0" fontId="293" fillId="0" borderId="111" applyNumberFormat="0" applyProtection="0">
      <alignment horizontal="left" vertical="top"/>
    </xf>
    <xf numFmtId="0" fontId="2" fillId="0" borderId="0" applyNumberFormat="0" applyFont="0" applyFill="0" applyBorder="0" applyAlignment="0" applyProtection="0"/>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0" fillId="0" borderId="0" applyNumberFormat="0" applyProtection="0">
      <alignment horizontal="left" vertical="top"/>
    </xf>
    <xf numFmtId="0" fontId="290" fillId="0" borderId="0" applyNumberFormat="0" applyProtection="0">
      <alignment horizontal="right" vertical="top"/>
    </xf>
    <xf numFmtId="0" fontId="289" fillId="0" borderId="0" applyNumberFormat="0" applyProtection="0">
      <alignment horizontal="left" vertical="top"/>
    </xf>
    <xf numFmtId="0" fontId="289" fillId="0" borderId="0" applyNumberFormat="0" applyProtection="0">
      <alignment horizontal="right" vertical="top"/>
    </xf>
    <xf numFmtId="0" fontId="2" fillId="0" borderId="160" applyNumberFormat="0" applyFont="0" applyAlignment="0" applyProtection="0"/>
    <xf numFmtId="0" fontId="2" fillId="0" borderId="161" applyNumberFormat="0" applyFont="0" applyAlignment="0" applyProtection="0"/>
    <xf numFmtId="0" fontId="2" fillId="0" borderId="162" applyNumberFormat="0" applyFont="0" applyAlignment="0" applyProtection="0"/>
    <xf numFmtId="10" fontId="294" fillId="0" borderId="0" applyNumberFormat="0" applyFill="0" applyBorder="0" applyProtection="0">
      <alignment horizontal="right" vertical="top"/>
    </xf>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90" fillId="0" borderId="97" applyNumberFormat="0" applyFill="0" applyAlignment="0" applyProtection="0">
      <alignment vertical="top"/>
    </xf>
    <xf numFmtId="0" fontId="290" fillId="0" borderId="97" applyNumberFormat="0" applyFill="0" applyAlignment="0" applyProtection="0">
      <alignment vertical="top"/>
    </xf>
    <xf numFmtId="348"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295" fillId="0" borderId="0" applyBorder="0" applyProtection="0">
      <alignment vertical="center"/>
    </xf>
    <xf numFmtId="276" fontId="295" fillId="0" borderId="9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96" fillId="142"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6" fillId="106" borderId="9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34"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7"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6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lignment horizontal="centerContinuous"/>
    </xf>
    <xf numFmtId="0" fontId="10" fillId="0" borderId="0"/>
    <xf numFmtId="0" fontId="10" fillId="0" borderId="0"/>
    <xf numFmtId="3" fontId="182" fillId="0" borderId="118">
      <alignment vertical="center"/>
    </xf>
    <xf numFmtId="0" fontId="298"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126" borderId="163" applyNumberFormat="0" applyFont="0">
      <alignment horizontal="center" vertical="center"/>
    </xf>
    <xf numFmtId="0" fontId="29" fillId="104"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4" fontId="29" fillId="0" borderId="0" applyFill="0" applyBorder="0" applyAlignme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253" fontId="29" fillId="0" borderId="0" applyFill="0" applyBorder="0" applyAlignment="0"/>
    <xf numFmtId="253"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49" fontId="45" fillId="68" borderId="113"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99"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00" fillId="143" borderId="0" applyNumberFormat="0">
      <alignment horizontal="left"/>
    </xf>
    <xf numFmtId="0" fontId="300" fillId="143" borderId="0" applyNumberFormat="0">
      <alignment horizontal="left"/>
    </xf>
    <xf numFmtId="0" fontId="300" fillId="143"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01"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50" fontId="301" fillId="0" borderId="0">
      <protection locked="0"/>
    </xf>
    <xf numFmtId="350" fontId="301" fillId="0" borderId="0">
      <protection locked="0"/>
    </xf>
    <xf numFmtId="0" fontId="10" fillId="0" borderId="0"/>
    <xf numFmtId="0" fontId="76" fillId="0" borderId="0" applyNumberForma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02" fillId="144" borderId="0">
      <alignment horizontal="centerContinuous"/>
    </xf>
    <xf numFmtId="0" fontId="303" fillId="63" borderId="0" applyNumberFormat="0" applyBorder="0" applyAlignment="0">
      <alignment horizontal="center"/>
    </xf>
    <xf numFmtId="0" fontId="304" fillId="0" borderId="92"/>
    <xf numFmtId="0" fontId="10" fillId="0" borderId="0"/>
    <xf numFmtId="0" fontId="304" fillId="0" borderId="92"/>
    <xf numFmtId="0" fontId="10" fillId="0" borderId="0"/>
    <xf numFmtId="0" fontId="304" fillId="0" borderId="92"/>
    <xf numFmtId="0" fontId="10" fillId="0" borderId="0"/>
    <xf numFmtId="0" fontId="304" fillId="0" borderId="92"/>
    <xf numFmtId="0" fontId="304" fillId="0" borderId="92"/>
    <xf numFmtId="245" fontId="226" fillId="0" borderId="0"/>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3" fontId="182" fillId="0" borderId="118">
      <alignment vertical="center"/>
    </xf>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38" fontId="174" fillId="0" borderId="165">
      <alignment horizontal="right"/>
    </xf>
    <xf numFmtId="0" fontId="245" fillId="0" borderId="16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45" fillId="0" borderId="166" applyProtection="0">
      <alignment horizontal="center"/>
    </xf>
    <xf numFmtId="0" fontId="245" fillId="0" borderId="166" applyProtection="0">
      <alignment horizontal="center"/>
    </xf>
    <xf numFmtId="0" fontId="245" fillId="0" borderId="166" applyProtection="0">
      <alignment horizontal="center"/>
    </xf>
    <xf numFmtId="0" fontId="245" fillId="0" borderId="166" applyProtection="0">
      <alignment horizont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4" fillId="69" borderId="0">
      <alignment horizontal="center"/>
    </xf>
    <xf numFmtId="0" fontId="104" fillId="69" borderId="0">
      <alignment horizontal="center"/>
    </xf>
    <xf numFmtId="3" fontId="182" fillId="0" borderId="118">
      <alignment vertical="center"/>
    </xf>
    <xf numFmtId="0" fontId="305" fillId="99" borderId="0" applyNumberFormat="0" applyBorder="0"/>
    <xf numFmtId="0" fontId="158" fillId="0" borderId="167" applyNumberFormat="0" applyFont="0" applyFill="0" applyAlignment="0"/>
    <xf numFmtId="0" fontId="306" fillId="0" borderId="113"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52" fillId="0" borderId="53" applyNumberFormat="0" applyBorder="0">
      <protection locked="0"/>
    </xf>
    <xf numFmtId="37" fontId="307" fillId="106" borderId="0"/>
    <xf numFmtId="37" fontId="133" fillId="145" borderId="109" applyNumberFormat="0" applyAlignment="0" applyProtection="0"/>
    <xf numFmtId="0" fontId="2" fillId="0" borderId="0" applyNumberFormat="0" applyFont="0" applyFill="0" applyBorder="0" applyAlignment="0" applyProtection="0"/>
    <xf numFmtId="37" fontId="133" fillId="145" borderId="109" applyNumberFormat="0" applyAlignment="0" applyProtection="0"/>
    <xf numFmtId="37" fontId="133" fillId="145" borderId="109" applyNumberFormat="0" applyAlignment="0" applyProtection="0"/>
    <xf numFmtId="37" fontId="133" fillId="145" borderId="109" applyNumberFormat="0" applyAlignment="0" applyProtection="0"/>
    <xf numFmtId="37" fontId="133" fillId="145" borderId="109" applyNumberFormat="0" applyAlignment="0" applyProtection="0"/>
    <xf numFmtId="3" fontId="182" fillId="0" borderId="118">
      <alignment vertical="center"/>
    </xf>
    <xf numFmtId="0" fontId="2" fillId="0" borderId="0" applyNumberFormat="0" applyFont="0" applyFill="0" applyBorder="0" applyAlignment="0" applyProtection="0"/>
    <xf numFmtId="0" fontId="121" fillId="0" borderId="0" applyNumberFormat="0" applyFill="0" applyBorder="0" applyAlignment="0" applyProtection="0"/>
    <xf numFmtId="0" fontId="10" fillId="0" borderId="0"/>
    <xf numFmtId="0" fontId="10" fillId="0" borderId="0"/>
    <xf numFmtId="220" fontId="30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09" fillId="0" borderId="97">
      <alignment horizontal="center"/>
    </xf>
    <xf numFmtId="43" fontId="2" fillId="0" borderId="0" applyNumberFormat="0" applyFont="0" applyBorder="0" applyAlignment="0">
      <protection locked="0"/>
    </xf>
    <xf numFmtId="2" fontId="307" fillId="106" borderId="0" applyNumberFormat="0" applyFill="0" applyBorder="0" applyAlignment="0" applyProtection="0"/>
    <xf numFmtId="351" fontId="310" fillId="106" borderId="0" applyNumberFormat="0" applyFill="0" applyBorder="0" applyAlignment="0" applyProtection="0"/>
    <xf numFmtId="37" fontId="311" fillId="105" borderId="0" applyNumberFormat="0" applyFill="0" applyBorder="0" applyAlignment="0"/>
    <xf numFmtId="0" fontId="123" fillId="106"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37" fontId="2" fillId="0" borderId="0"/>
    <xf numFmtId="2" fontId="206" fillId="69" borderId="109"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165" fontId="312" fillId="69" borderId="6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52"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353" fontId="2" fillId="0" borderId="0" applyFont="0" applyFill="0" applyBorder="0" applyAlignment="0" applyProtection="0"/>
    <xf numFmtId="354" fontId="227"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5"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13" fillId="104"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1" borderId="0">
      <alignment horizontal="right"/>
    </xf>
    <xf numFmtId="0" fontId="314" fillId="74" borderId="9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69" fillId="0" borderId="0">
      <alignment horizontal="center"/>
    </xf>
    <xf numFmtId="0" fontId="10" fillId="0" borderId="0"/>
    <xf numFmtId="3" fontId="182" fillId="0" borderId="118">
      <alignment vertical="center"/>
    </xf>
    <xf numFmtId="0" fontId="282" fillId="0" borderId="0" applyProtection="0">
      <alignment horizontal="center"/>
    </xf>
    <xf numFmtId="0" fontId="10" fillId="0" borderId="0"/>
    <xf numFmtId="3" fontId="182" fillId="0" borderId="118">
      <alignment vertical="center"/>
    </xf>
    <xf numFmtId="0" fontId="2" fillId="0" borderId="0" applyNumberFormat="0" applyFont="0" applyFill="0" applyBorder="0" applyAlignment="0" applyProtection="0"/>
    <xf numFmtId="0" fontId="315" fillId="0" borderId="0" applyProtection="0">
      <alignment horizontal="center"/>
    </xf>
    <xf numFmtId="0" fontId="10" fillId="0" borderId="0"/>
    <xf numFmtId="3" fontId="182" fillId="0" borderId="118">
      <alignment vertical="center"/>
    </xf>
    <xf numFmtId="0" fontId="45" fillId="0" borderId="0" applyNumberFormat="0" applyFill="0" applyBorder="0" applyProtection="0">
      <alignment horizontal="left"/>
    </xf>
    <xf numFmtId="330" fontId="133" fillId="0" borderId="0" applyNumberFormat="0" applyFont="0" applyFill="0" applyBorder="0" applyProtection="0">
      <alignment vertical="top" wrapText="1"/>
    </xf>
    <xf numFmtId="0" fontId="179" fillId="0" borderId="0" applyNumberFormat="0" applyFill="0" applyBorder="0" applyProtection="0">
      <alignment horizontal="right"/>
    </xf>
    <xf numFmtId="0" fontId="152" fillId="0" borderId="0" applyNumberFormat="0" applyFill="0" applyBorder="0" applyProtection="0">
      <alignment horizontal="center"/>
    </xf>
    <xf numFmtId="15" fontId="152" fillId="0" borderId="0" applyFill="0" applyBorder="0" applyProtection="0">
      <alignment horizontal="center"/>
    </xf>
    <xf numFmtId="356" fontId="104" fillId="0" borderId="0"/>
    <xf numFmtId="356" fontId="104" fillId="0" borderId="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45" fillId="0" borderId="168" applyNumberFormat="0"/>
    <xf numFmtId="14" fontId="133" fillId="0" borderId="0" applyFont="0" applyFill="0" applyBorder="0" applyProtection="0"/>
    <xf numFmtId="16" fontId="133" fillId="0" borderId="0" applyFont="0" applyFill="0" applyBorder="0" applyProtection="0"/>
    <xf numFmtId="3" fontId="182" fillId="0" borderId="118">
      <alignment vertical="center"/>
    </xf>
    <xf numFmtId="357" fontId="316" fillId="0" borderId="9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91"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7" fillId="0" borderId="0" applyNumberFormat="0" applyFont="0" applyBorder="0" applyAlignment="0"/>
    <xf numFmtId="0" fontId="318" fillId="0" borderId="0"/>
    <xf numFmtId="0" fontId="6" fillId="0" borderId="0" applyNumberFormat="0" applyFill="0" applyBorder="0" applyAlignment="0" applyProtection="0">
      <alignment vertical="top"/>
      <protection locked="0"/>
    </xf>
    <xf numFmtId="207" fontId="318" fillId="0" borderId="0" applyFont="0" applyFill="0" applyBorder="0" applyAlignment="0" applyProtection="0"/>
    <xf numFmtId="208" fontId="318" fillId="0" borderId="0" applyFont="0" applyFill="0" applyBorder="0" applyAlignment="0" applyProtection="0"/>
    <xf numFmtId="206" fontId="318" fillId="0" borderId="0" applyFont="0" applyFill="0" applyBorder="0" applyAlignment="0" applyProtection="0"/>
    <xf numFmtId="209" fontId="31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3" fontId="9" fillId="0" borderId="0" applyFont="0" applyFill="0" applyBorder="0" applyAlignment="0" applyProtection="0"/>
    <xf numFmtId="192" fontId="9" fillId="0" borderId="0" applyFont="0" applyFill="0" applyBorder="0" applyAlignment="0" applyProtection="0"/>
    <xf numFmtId="0" fontId="319" fillId="0" borderId="0" applyNumberFormat="0" applyFill="0" applyBorder="0" applyAlignment="0" applyProtection="0"/>
    <xf numFmtId="3" fontId="2" fillId="74" borderId="175" applyFont="0">
      <alignment horizontal="right" vertical="center"/>
      <protection locked="0"/>
    </xf>
    <xf numFmtId="0" fontId="45" fillId="69" borderId="171" applyFont="0" applyBorder="0">
      <alignment horizontal="center" wrapText="1"/>
    </xf>
    <xf numFmtId="0" fontId="120" fillId="69" borderId="174" applyNumberFormat="0" applyFill="0" applyBorder="0" applyAlignment="0" applyProtection="0">
      <alignment horizontal="left"/>
    </xf>
    <xf numFmtId="0" fontId="1" fillId="0" borderId="0"/>
    <xf numFmtId="0" fontId="147" fillId="0" borderId="179"/>
    <xf numFmtId="243" fontId="149" fillId="0" borderId="18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246"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0" fontId="156" fillId="103" borderId="181" applyNumberFormat="0" applyAlignment="0" applyProtection="0"/>
    <xf numFmtId="0" fontId="156" fillId="103" borderId="181" applyNumberFormat="0" applyAlignment="0" applyProtection="0"/>
    <xf numFmtId="251" fontId="104" fillId="0" borderId="181" applyNumberFormat="0" applyFont="0" applyFill="0" applyAlignment="0">
      <alignment vertical="center"/>
    </xf>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251" fontId="104" fillId="0" borderId="181" applyNumberFormat="0" applyFont="0" applyFill="0" applyAlignment="0">
      <alignment vertical="center"/>
    </xf>
    <xf numFmtId="0" fontId="104" fillId="0" borderId="181" applyNumberFormat="0" applyFont="0" applyFill="0"/>
    <xf numFmtId="251" fontId="104" fillId="0" borderId="181" applyNumberFormat="0" applyFont="0" applyFill="0" applyAlignment="0">
      <alignment vertical="center"/>
    </xf>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74" fillId="0" borderId="170" applyNumberFormat="0" applyFont="0" applyFill="0" applyAlignment="0" applyProtection="0"/>
    <xf numFmtId="0" fontId="122" fillId="0" borderId="174" applyNumberFormat="0" applyFont="0" applyFill="0" applyAlignment="0" applyProtection="0"/>
    <xf numFmtId="0" fontId="122" fillId="0" borderId="174" applyNumberFormat="0" applyFont="0" applyFill="0" applyAlignment="0" applyProtection="0"/>
    <xf numFmtId="0" fontId="122" fillId="0" borderId="174" applyNumberFormat="0" applyFont="0" applyFill="0" applyAlignment="0" applyProtection="0"/>
    <xf numFmtId="0" fontId="122" fillId="0" borderId="179" applyNumberFormat="0" applyFont="0" applyFill="0" applyAlignment="0" applyProtection="0"/>
    <xf numFmtId="0" fontId="122" fillId="0" borderId="179"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3" fontId="45" fillId="41" borderId="174">
      <protection hidden="1"/>
    </xf>
    <xf numFmtId="0" fontId="177" fillId="0" borderId="174" applyBorder="0"/>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vertical="center"/>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200" fontId="18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0" fontId="193" fillId="0" borderId="182" applyNumberFormat="0" applyFill="0" applyBorder="0" applyAlignment="0" applyProtection="0">
      <alignment horizontal="center"/>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6" fontId="135" fillId="0" borderId="0" applyFont="0" applyFill="0" applyBorder="0" applyAlignment="0" applyProtection="0">
      <alignment horizontal="righ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0" fontId="205" fillId="115" borderId="175" applyNumberFormat="0" applyBorder="0" applyAlignment="0">
      <alignment horizontal="center"/>
      <protection locked="0"/>
    </xf>
    <xf numFmtId="0" fontId="205" fillId="115" borderId="175" applyNumberFormat="0" applyBorder="0" applyAlignment="0">
      <alignment horizontal="center"/>
      <protection locked="0"/>
    </xf>
    <xf numFmtId="3" fontId="206" fillId="116" borderId="182" applyNumberFormat="0" applyBorder="0" applyAlignment="0" applyProtection="0">
      <protection hidden="1"/>
    </xf>
    <xf numFmtId="280" fontId="2" fillId="0" borderId="0" applyFont="0" applyFill="0" applyBorder="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45" fillId="108" borderId="177" applyAlignment="0" applyProtection="0"/>
    <xf numFmtId="0" fontId="45" fillId="108" borderId="177" applyAlignment="0" applyProtection="0"/>
    <xf numFmtId="0" fontId="45" fillId="108" borderId="177" applyAlignment="0" applyProtection="0"/>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37" fillId="0" borderId="177">
      <alignment horizontal="left" vertical="center"/>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0" borderId="0" applyNumberFormat="0" applyFont="0" applyFill="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2" fontId="206" fillId="124" borderId="180" applyNumberFormat="0" applyBorder="0" applyAlignment="0" applyProtection="0">
      <alignment horizontal="center"/>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49" fontId="2" fillId="71" borderId="175" applyFont="0" applyAlignment="0">
      <protection locked="0"/>
    </xf>
    <xf numFmtId="49" fontId="2" fillId="71" borderId="175" applyFont="0" applyAlignment="0">
      <protection locked="0"/>
    </xf>
    <xf numFmtId="316" fontId="133" fillId="0" borderId="180" applyBorder="0"/>
    <xf numFmtId="252" fontId="201" fillId="91" borderId="180" applyBorder="0"/>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2" fontId="206" fillId="102" borderId="175" applyNumberFormat="0" applyBorder="0" applyAlignment="0">
      <protection locked="0"/>
    </xf>
    <xf numFmtId="3" fontId="182" fillId="0" borderId="118">
      <alignment vertical="center"/>
    </xf>
    <xf numFmtId="37" fontId="174" fillId="0" borderId="0" applyNumberFormat="0" applyFill="0" applyAlignment="0"/>
    <xf numFmtId="0" fontId="256" fillId="99" borderId="176">
      <alignment horizontal="center" vertical="top" wrapText="1"/>
    </xf>
    <xf numFmtId="0" fontId="256" fillId="99" borderId="176">
      <alignment horizontal="center" vertical="top" wrapText="1"/>
    </xf>
    <xf numFmtId="0" fontId="256" fillId="99" borderId="176">
      <alignment horizontal="center" vertical="top" wrapText="1"/>
    </xf>
    <xf numFmtId="0" fontId="256" fillId="99" borderId="176">
      <alignment horizontal="center" vertical="top" wrapText="1"/>
    </xf>
    <xf numFmtId="0" fontId="2" fillId="0" borderId="177"/>
    <xf numFmtId="0" fontId="2" fillId="0" borderId="177"/>
    <xf numFmtId="0" fontId="2" fillId="0" borderId="177"/>
    <xf numFmtId="0" fontId="2" fillId="0" borderId="177"/>
    <xf numFmtId="0" fontId="45" fillId="70" borderId="171"/>
    <xf numFmtId="0" fontId="45" fillId="70" borderId="171"/>
    <xf numFmtId="0" fontId="45" fillId="70" borderId="171"/>
    <xf numFmtId="0" fontId="45" fillId="70" borderId="171"/>
    <xf numFmtId="0" fontId="45" fillId="0" borderId="172"/>
    <xf numFmtId="0" fontId="45" fillId="0" borderId="172"/>
    <xf numFmtId="0" fontId="45" fillId="0" borderId="172"/>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0" fontId="256" fillId="127" borderId="176">
      <alignment horizontal="center" vertical="top"/>
    </xf>
    <xf numFmtId="0" fontId="256" fillId="127" borderId="176">
      <alignment horizontal="center" vertical="top"/>
    </xf>
    <xf numFmtId="0" fontId="45" fillId="0" borderId="171"/>
    <xf numFmtId="0" fontId="45" fillId="0" borderId="171"/>
    <xf numFmtId="0" fontId="45" fillId="0" borderId="171"/>
    <xf numFmtId="0" fontId="45" fillId="0" borderId="171"/>
    <xf numFmtId="0" fontId="2" fillId="0" borderId="176"/>
    <xf numFmtId="0" fontId="2" fillId="0" borderId="176"/>
    <xf numFmtId="0" fontId="2" fillId="0" borderId="176"/>
    <xf numFmtId="0" fontId="2" fillId="0" borderId="176"/>
    <xf numFmtId="0" fontId="2" fillId="0" borderId="176"/>
    <xf numFmtId="0" fontId="257" fillId="70" borderId="182"/>
    <xf numFmtId="0" fontId="257" fillId="70" borderId="182"/>
    <xf numFmtId="0" fontId="2" fillId="0" borderId="172">
      <alignment horizontal="center"/>
    </xf>
    <xf numFmtId="0" fontId="2" fillId="0" borderId="172">
      <alignment horizontal="center"/>
    </xf>
    <xf numFmtId="0" fontId="2" fillId="0" borderId="172">
      <alignment horizontal="center"/>
    </xf>
    <xf numFmtId="0" fontId="2" fillId="0" borderId="173">
      <alignment horizontal="center"/>
    </xf>
    <xf numFmtId="0" fontId="2" fillId="0" borderId="173">
      <alignment horizontal="center"/>
    </xf>
    <xf numFmtId="0" fontId="2" fillId="0" borderId="173">
      <alignment horizontal="center"/>
    </xf>
    <xf numFmtId="0" fontId="2" fillId="0" borderId="173">
      <alignment horizontal="center"/>
    </xf>
    <xf numFmtId="0" fontId="2" fillId="0" borderId="178">
      <alignment horizontal="center"/>
    </xf>
    <xf numFmtId="0" fontId="2" fillId="0" borderId="178">
      <alignment horizontal="center"/>
    </xf>
    <xf numFmtId="0" fontId="256" fillId="127" borderId="176">
      <alignment horizontal="center" vertical="top" wrapText="1"/>
    </xf>
    <xf numFmtId="0" fontId="256" fillId="127" borderId="176">
      <alignment horizontal="center" vertical="top" wrapText="1"/>
    </xf>
    <xf numFmtId="0" fontId="256" fillId="127" borderId="176">
      <alignment horizontal="center" vertical="top" wrapText="1"/>
    </xf>
    <xf numFmtId="0" fontId="256" fillId="127" borderId="176">
      <alignment horizontal="center" vertical="top" wrapText="1"/>
    </xf>
    <xf numFmtId="3" fontId="2" fillId="0" borderId="177"/>
    <xf numFmtId="3" fontId="2" fillId="0" borderId="177"/>
    <xf numFmtId="3" fontId="2" fillId="0" borderId="177"/>
    <xf numFmtId="3" fontId="2" fillId="0" borderId="177"/>
    <xf numFmtId="0" fontId="45" fillId="70" borderId="171">
      <alignment horizontal="center"/>
    </xf>
    <xf numFmtId="0" fontId="45" fillId="70" borderId="171">
      <alignment horizontal="center"/>
    </xf>
    <xf numFmtId="0" fontId="45" fillId="70" borderId="171">
      <alignment horizontal="center"/>
    </xf>
    <xf numFmtId="0" fontId="45" fillId="70" borderId="171">
      <alignment horizontal="center"/>
    </xf>
    <xf numFmtId="0" fontId="45" fillId="70" borderId="177">
      <alignment horizontal="center"/>
    </xf>
    <xf numFmtId="0" fontId="45" fillId="70" borderId="177">
      <alignment horizontal="center"/>
    </xf>
    <xf numFmtId="0" fontId="45" fillId="70" borderId="176">
      <alignment horizontal="center"/>
    </xf>
    <xf numFmtId="0" fontId="45" fillId="70" borderId="176">
      <alignment horizontal="center"/>
    </xf>
    <xf numFmtId="0" fontId="45" fillId="70" borderId="176">
      <alignment horizontal="center"/>
    </xf>
    <xf numFmtId="0" fontId="45" fillId="70" borderId="176">
      <alignment horizontal="center"/>
    </xf>
    <xf numFmtId="0" fontId="45" fillId="70" borderId="172">
      <alignment horizontal="left" vertical="top"/>
    </xf>
    <xf numFmtId="0" fontId="45" fillId="70" borderId="172">
      <alignment horizontal="left" vertical="top"/>
    </xf>
    <xf numFmtId="0" fontId="45" fillId="70" borderId="172">
      <alignment horizontal="left" vertical="top"/>
    </xf>
    <xf numFmtId="0" fontId="256" fillId="127" borderId="177">
      <alignment horizontal="center" vertical="center"/>
    </xf>
    <xf numFmtId="0" fontId="256" fillId="127" borderId="177">
      <alignment horizontal="center" vertical="center"/>
    </xf>
    <xf numFmtId="0" fontId="256" fillId="127" borderId="176">
      <alignment horizontal="center" vertical="center"/>
    </xf>
    <xf numFmtId="0" fontId="256" fillId="127" borderId="176">
      <alignment horizontal="center" vertical="center"/>
    </xf>
    <xf numFmtId="0" fontId="256" fillId="127" borderId="176">
      <alignment horizontal="center" vertical="center"/>
    </xf>
    <xf numFmtId="0" fontId="256" fillId="127" borderId="176">
      <alignment horizontal="center" vertical="center"/>
    </xf>
    <xf numFmtId="0" fontId="256" fillId="99" borderId="171">
      <alignment horizontal="center" vertical="center"/>
    </xf>
    <xf numFmtId="0" fontId="256" fillId="99" borderId="171">
      <alignment horizontal="center" vertical="center"/>
    </xf>
    <xf numFmtId="0" fontId="256" fillId="99" borderId="171">
      <alignment horizontal="center" vertical="center"/>
    </xf>
    <xf numFmtId="0" fontId="256" fillId="99" borderId="171">
      <alignment horizontal="center" vertical="center"/>
    </xf>
    <xf numFmtId="0" fontId="256" fillId="99" borderId="177">
      <alignment horizontal="center" vertical="center"/>
    </xf>
    <xf numFmtId="0" fontId="256" fillId="99" borderId="177">
      <alignment horizontal="center" vertical="center"/>
    </xf>
    <xf numFmtId="0" fontId="256" fillId="99" borderId="176">
      <alignment horizontal="center" vertical="center"/>
    </xf>
    <xf numFmtId="0" fontId="256" fillId="99" borderId="176">
      <alignment horizontal="center" vertical="center"/>
    </xf>
    <xf numFmtId="0" fontId="256" fillId="99" borderId="176">
      <alignment horizontal="center" vertical="center"/>
    </xf>
    <xf numFmtId="0" fontId="256" fillId="99" borderId="176">
      <alignment horizontal="center" vertical="center"/>
    </xf>
    <xf numFmtId="0" fontId="2" fillId="0" borderId="173"/>
    <xf numFmtId="0" fontId="2" fillId="0" borderId="173"/>
    <xf numFmtId="0" fontId="2" fillId="0" borderId="173"/>
    <xf numFmtId="0" fontId="2" fillId="0" borderId="173"/>
    <xf numFmtId="0" fontId="2" fillId="0" borderId="178"/>
    <xf numFmtId="0" fontId="2" fillId="0" borderId="178"/>
    <xf numFmtId="0" fontId="2" fillId="0" borderId="0" applyNumberFormat="0" applyFont="0" applyFill="0" applyBorder="0" applyAlignment="0" applyProtection="0"/>
    <xf numFmtId="0" fontId="259" fillId="0" borderId="180"/>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173" fontId="206" fillId="129" borderId="180" applyNumberFormat="0" applyBorder="0" applyAlignment="0" applyProtection="0">
      <alignment horizontal="center"/>
      <protection hidden="1"/>
    </xf>
    <xf numFmtId="3" fontId="260" fillId="57" borderId="175" applyNumberFormat="0" applyBorder="0" applyAlignment="0" applyProtection="0">
      <protection hidden="1"/>
    </xf>
    <xf numFmtId="3" fontId="261" fillId="130" borderId="182" applyNumberFormat="0" applyBorder="0" applyAlignment="0" applyProtection="0">
      <protection hidden="1"/>
    </xf>
    <xf numFmtId="0" fontId="19" fillId="126" borderId="180" applyNumberFormat="0" applyFont="0" applyBorder="0" applyAlignment="0" applyProtection="0">
      <alignment horizontal="center"/>
    </xf>
    <xf numFmtId="0" fontId="19" fillId="126" borderId="180" applyNumberFormat="0" applyFont="0" applyBorder="0" applyAlignment="0" applyProtection="0">
      <alignment horizontal="center"/>
    </xf>
    <xf numFmtId="0" fontId="19" fillId="91" borderId="180" applyNumberFormat="0" applyFont="0" applyBorder="0" applyAlignment="0" applyProtection="0">
      <alignment horizontal="center"/>
    </xf>
    <xf numFmtId="0" fontId="19" fillId="91" borderId="180" applyNumberFormat="0" applyFont="0" applyBorder="0" applyAlignment="0" applyProtection="0">
      <alignment horizontal="center"/>
    </xf>
    <xf numFmtId="0" fontId="133" fillId="0" borderId="183" applyNumberFormat="0" applyAlignment="0" applyProtection="0"/>
    <xf numFmtId="0" fontId="10" fillId="0" borderId="0"/>
    <xf numFmtId="0" fontId="46" fillId="69" borderId="174">
      <alignment horizontal="center"/>
    </xf>
    <xf numFmtId="0" fontId="41" fillId="0" borderId="170">
      <alignment horizontal="center"/>
    </xf>
    <xf numFmtId="0" fontId="45" fillId="87" borderId="174" applyNumberFormat="0" applyBorder="0" applyAlignment="0"/>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0" fontId="270" fillId="45" borderId="175"/>
    <xf numFmtId="0" fontId="2" fillId="0" borderId="184">
      <alignment vertical="center"/>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 fontId="2" fillId="69" borderId="175" applyFont="0">
      <alignment horizontal="right"/>
    </xf>
    <xf numFmtId="3" fontId="2" fillId="69" borderId="175" applyFont="0">
      <alignment horizontal="right"/>
    </xf>
    <xf numFmtId="3" fontId="2" fillId="69" borderId="175" applyFont="0">
      <alignment horizontal="right" vertical="center"/>
    </xf>
    <xf numFmtId="3" fontId="2" fillId="69" borderId="175" applyFont="0">
      <alignment horizontal="right" vertical="center"/>
    </xf>
    <xf numFmtId="3" fontId="2" fillId="69" borderId="175" applyFont="0">
      <alignment horizontal="right" vertical="center"/>
    </xf>
    <xf numFmtId="3" fontId="2" fillId="69" borderId="175" applyFont="0">
      <alignment horizontal="right" vertical="center"/>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 fontId="2" fillId="68" borderId="177" applyBorder="0"/>
    <xf numFmtId="3" fontId="2" fillId="68" borderId="177" applyBorder="0"/>
    <xf numFmtId="3" fontId="2" fillId="68" borderId="177" applyBorder="0"/>
    <xf numFmtId="3" fontId="2" fillId="68" borderId="177" applyBorder="0"/>
    <xf numFmtId="3" fontId="2" fillId="68" borderId="177" applyBorder="0"/>
    <xf numFmtId="2" fontId="286" fillId="0" borderId="180" applyNumberFormat="0" applyFill="0" applyBorder="0" applyAlignment="0" applyProtection="0">
      <alignment horizontal="center"/>
      <protection locked="0"/>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49" fontId="2" fillId="139" borderId="175" applyFont="0"/>
    <xf numFmtId="49" fontId="2" fillId="139"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310" fontId="2" fillId="141" borderId="175">
      <alignment vertical="center"/>
    </xf>
    <xf numFmtId="310" fontId="2" fillId="141" borderId="175">
      <alignment vertical="center"/>
    </xf>
    <xf numFmtId="310" fontId="2" fillId="141" borderId="175">
      <alignment vertical="center"/>
    </xf>
    <xf numFmtId="310" fontId="2" fillId="141" borderId="175">
      <alignment vertical="center"/>
    </xf>
    <xf numFmtId="310" fontId="2" fillId="141" borderId="175">
      <alignment vertical="center"/>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49" fontId="2" fillId="88" borderId="175" applyFont="0"/>
    <xf numFmtId="49" fontId="2" fillId="88" borderId="175" applyFont="0"/>
    <xf numFmtId="0" fontId="293" fillId="0" borderId="177" applyNumberFormat="0" applyProtection="0">
      <alignment horizontal="left" vertical="top"/>
    </xf>
    <xf numFmtId="0" fontId="293" fillId="0" borderId="177" applyNumberFormat="0" applyProtection="0">
      <alignment horizontal="left" vertical="top"/>
    </xf>
    <xf numFmtId="0" fontId="293" fillId="0" borderId="177" applyNumberFormat="0" applyProtection="0">
      <alignment horizontal="lef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28" fillId="0" borderId="174" applyFill="0" applyBorder="0" applyProtection="0">
      <alignment horizontal="left" vertical="top"/>
    </xf>
    <xf numFmtId="0" fontId="158" fillId="126" borderId="186" applyNumberFormat="0" applyFont="0">
      <alignment horizontal="center" vertical="center"/>
    </xf>
    <xf numFmtId="349" fontId="45" fillId="68" borderId="182" applyNumberFormat="0" applyBorder="0" applyAlignment="0">
      <alignment horizontal="right"/>
    </xf>
    <xf numFmtId="0" fontId="304" fillId="0" borderId="172"/>
    <xf numFmtId="0" fontId="304" fillId="0" borderId="172"/>
    <xf numFmtId="0" fontId="304" fillId="0" borderId="172"/>
    <xf numFmtId="0" fontId="304" fillId="0" borderId="172"/>
    <xf numFmtId="0" fontId="304" fillId="0" borderId="172"/>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306" fillId="0" borderId="182" applyNumberFormat="0" applyFill="0" applyBorder="0" applyAlignment="0" applyProtection="0">
      <alignment horizontal="center"/>
      <protection locked="0"/>
    </xf>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2" fontId="206" fillId="69" borderId="175" applyBorder="0" applyAlignment="0"/>
    <xf numFmtId="165" fontId="312" fillId="69" borderId="174">
      <alignment horizontal="center"/>
    </xf>
    <xf numFmtId="0" fontId="319" fillId="0" borderId="0" applyNumberFormat="0" applyFill="0" applyBorder="0" applyAlignment="0" applyProtection="0"/>
  </cellStyleXfs>
  <cellXfs count="827">
    <xf numFmtId="0" fontId="0" fillId="0" borderId="0" xfId="0"/>
    <xf numFmtId="10" fontId="87" fillId="2" borderId="3" xfId="0" applyNumberFormat="1" applyFont="1" applyFill="1" applyBorder="1" applyAlignment="1" applyProtection="1">
      <alignment vertical="center"/>
      <protection locked="0"/>
    </xf>
    <xf numFmtId="10" fontId="2" fillId="0" borderId="3" xfId="0" applyNumberFormat="1" applyFont="1" applyBorder="1" applyAlignment="1" applyProtection="1">
      <alignment horizontal="right" vertical="center" wrapText="1"/>
      <protection locked="0"/>
    </xf>
    <xf numFmtId="10" fontId="84" fillId="0" borderId="3" xfId="0" applyNumberFormat="1" applyFont="1" applyBorder="1" applyAlignment="1" applyProtection="1">
      <alignment vertical="center" wrapText="1"/>
      <protection locked="0"/>
    </xf>
    <xf numFmtId="169" fontId="84" fillId="0" borderId="3" xfId="0" applyNumberFormat="1" applyFont="1" applyBorder="1" applyAlignment="1" applyProtection="1">
      <alignment vertical="center" wrapText="1"/>
      <protection locked="0"/>
    </xf>
    <xf numFmtId="169" fontId="45" fillId="0" borderId="3" xfId="0" applyNumberFormat="1" applyFont="1" applyBorder="1" applyAlignment="1" applyProtection="1">
      <alignment horizontal="right" vertical="center" wrapText="1"/>
      <protection locked="0"/>
    </xf>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191" fontId="84" fillId="0" borderId="16" xfId="0" applyNumberFormat="1" applyFont="1" applyBorder="1" applyAlignment="1" applyProtection="1">
      <alignment horizontal="center" vertical="center" wrapText="1"/>
      <protection locked="0"/>
    </xf>
    <xf numFmtId="0" fontId="2" fillId="0" borderId="15"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6" xfId="0" applyNumberFormat="1" applyFont="1" applyBorder="1" applyAlignment="1" applyProtection="1">
      <alignment vertical="center" wrapText="1"/>
      <protection locked="0"/>
    </xf>
    <xf numFmtId="191" fontId="87" fillId="2" borderId="3" xfId="0" applyNumberFormat="1" applyFont="1" applyFill="1" applyBorder="1" applyAlignment="1" applyProtection="1">
      <alignment vertical="center"/>
      <protection locked="0"/>
    </xf>
    <xf numFmtId="191" fontId="87" fillId="2" borderId="16" xfId="0" applyNumberFormat="1" applyFont="1" applyFill="1" applyBorder="1" applyAlignment="1" applyProtection="1">
      <alignment vertical="center"/>
      <protection locked="0"/>
    </xf>
    <xf numFmtId="191" fontId="87" fillId="2" borderId="20"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46" fillId="0" borderId="0" xfId="0" applyFont="1" applyAlignment="1">
      <alignment horizontal="center"/>
    </xf>
    <xf numFmtId="0" fontId="84" fillId="0" borderId="15" xfId="0" applyFont="1" applyBorder="1" applyAlignment="1">
      <alignment horizontal="center" vertical="center" wrapText="1"/>
    </xf>
    <xf numFmtId="0" fontId="84" fillId="0" borderId="3" xfId="0" applyFont="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45" fillId="0" borderId="0" xfId="0" applyFont="1" applyAlignment="1">
      <alignment horizontal="center" vertical="center" wrapText="1"/>
    </xf>
    <xf numFmtId="0" fontId="2" fillId="0" borderId="15" xfId="0" applyFont="1" applyBorder="1" applyAlignment="1">
      <alignment vertical="center"/>
    </xf>
    <xf numFmtId="0" fontId="85" fillId="0" borderId="0" xfId="0" applyFont="1" applyAlignment="1">
      <alignment wrapText="1"/>
    </xf>
    <xf numFmtId="0" fontId="46" fillId="0" borderId="0" xfId="10" applyFont="1" applyAlignment="1">
      <alignment horizontal="right"/>
    </xf>
    <xf numFmtId="0" fontId="45" fillId="0" borderId="13" xfId="10" applyFont="1" applyBorder="1" applyAlignment="1">
      <alignment horizontal="center" vertical="center"/>
    </xf>
    <xf numFmtId="0" fontId="45" fillId="0" borderId="14" xfId="10" applyFont="1" applyBorder="1" applyAlignment="1">
      <alignment horizontal="center" vertical="center"/>
    </xf>
    <xf numFmtId="0" fontId="2" fillId="0" borderId="0" xfId="10" applyAlignment="1">
      <alignment vertical="center"/>
    </xf>
    <xf numFmtId="0" fontId="85" fillId="0" borderId="3" xfId="0" applyFont="1" applyBorder="1"/>
    <xf numFmtId="0" fontId="84" fillId="0" borderId="0" xfId="0" applyFont="1" applyAlignment="1">
      <alignment vertical="center"/>
    </xf>
    <xf numFmtId="0" fontId="84" fillId="0" borderId="15"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2"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4" xfId="6" applyNumberFormat="1" applyFont="1" applyFill="1" applyBorder="1" applyAlignment="1" applyProtection="1">
      <alignment horizontal="center" vertical="center"/>
      <protection locked="0"/>
    </xf>
    <xf numFmtId="0" fontId="2" fillId="0" borderId="15"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7"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5"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19" xfId="0" applyFont="1" applyFill="1" applyBorder="1" applyAlignment="1" applyProtection="1">
      <alignment vertical="center" wrapText="1"/>
      <protection locked="0"/>
    </xf>
    <xf numFmtId="0" fontId="45" fillId="0" borderId="0" xfId="10" applyFont="1"/>
    <xf numFmtId="0" fontId="84" fillId="0" borderId="4" xfId="0" applyFont="1" applyBorder="1" applyAlignment="1">
      <alignment horizontal="center" vertical="center" wrapText="1"/>
    </xf>
    <xf numFmtId="0" fontId="84" fillId="0" borderId="52"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2" fillId="0" borderId="0" xfId="0" applyNumberFormat="1" applyFont="1" applyAlignment="1">
      <alignment horizontal="center"/>
    </xf>
    <xf numFmtId="167" fontId="90" fillId="0" borderId="0" xfId="0" applyNumberFormat="1" applyFont="1" applyAlignment="1">
      <alignment horizontal="center"/>
    </xf>
    <xf numFmtId="0" fontId="84" fillId="0" borderId="15" xfId="0" applyFont="1" applyBorder="1" applyAlignment="1">
      <alignment vertical="center"/>
    </xf>
    <xf numFmtId="0" fontId="2" fillId="3" borderId="18" xfId="8" applyFont="1" applyFill="1" applyBorder="1" applyAlignment="1" applyProtection="1">
      <alignment horizontal="left" vertical="center"/>
      <protection locked="0"/>
    </xf>
    <xf numFmtId="0" fontId="45" fillId="3" borderId="19" xfId="14" applyFont="1" applyFill="1" applyBorder="1" applyProtection="1">
      <protection locked="0"/>
    </xf>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4" applyFill="1" applyBorder="1" applyAlignment="1" applyProtection="1">
      <alignment horizontal="right" vertical="center"/>
      <protection locked="0"/>
    </xf>
    <xf numFmtId="0" fontId="45" fillId="3" borderId="20" xfId="14" applyFont="1" applyFill="1" applyBorder="1" applyProtection="1">
      <protection locked="0"/>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3" xfId="0" applyFont="1" applyBorder="1" applyAlignment="1">
      <alignment wrapText="1"/>
    </xf>
    <xf numFmtId="0" fontId="86" fillId="0" borderId="19" xfId="0" applyFont="1" applyBorder="1"/>
    <xf numFmtId="0" fontId="2" fillId="0" borderId="3" xfId="0" applyFont="1" applyBorder="1" applyAlignment="1" applyProtection="1">
      <alignment horizontal="center" vertical="center" wrapText="1"/>
      <protection locked="0"/>
    </xf>
    <xf numFmtId="0" fontId="45" fillId="0" borderId="22" xfId="0" applyFont="1" applyBorder="1" applyAlignment="1">
      <alignment vertical="center" wrapText="1"/>
    </xf>
    <xf numFmtId="0" fontId="91"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3"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9" xfId="0" applyFont="1" applyBorder="1" applyAlignment="1">
      <alignment vertical="center" wrapText="1"/>
    </xf>
    <xf numFmtId="0" fontId="2" fillId="0" borderId="12" xfId="10" applyBorder="1" applyAlignment="1">
      <alignment vertical="center"/>
    </xf>
    <xf numFmtId="0" fontId="2" fillId="0" borderId="13" xfId="10"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Border="1" applyAlignment="1">
      <alignment horizontal="left" vertical="center" wrapText="1" indent="2"/>
    </xf>
    <xf numFmtId="0" fontId="94" fillId="0" borderId="0" xfId="10" applyFont="1"/>
    <xf numFmtId="0" fontId="95"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50" xfId="0" applyFont="1" applyBorder="1"/>
    <xf numFmtId="0" fontId="3" fillId="0" borderId="51"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7" fillId="0" borderId="0" xfId="0" applyFont="1"/>
    <xf numFmtId="0" fontId="3" fillId="0" borderId="53" xfId="0" applyFont="1" applyBorder="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Border="1" applyAlignment="1">
      <alignment horizontal="center" vertical="center" wrapText="1"/>
    </xf>
    <xf numFmtId="9" fontId="3" fillId="0" borderId="16" xfId="20948" applyFont="1" applyBorder="1"/>
    <xf numFmtId="0" fontId="86" fillId="0" borderId="0" xfId="0" applyFont="1" applyAlignment="1">
      <alignment horizontal="center" wrapText="1"/>
    </xf>
    <xf numFmtId="0" fontId="84" fillId="0" borderId="58" xfId="0" applyFont="1" applyBorder="1" applyAlignment="1">
      <alignment vertical="center" wrapText="1"/>
    </xf>
    <xf numFmtId="0" fontId="86" fillId="0" borderId="1" xfId="0" applyFont="1" applyBorder="1" applyAlignment="1">
      <alignment horizontal="left"/>
    </xf>
    <xf numFmtId="0" fontId="86" fillId="35" borderId="66"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68" xfId="0" applyFont="1" applyFill="1" applyBorder="1" applyAlignment="1">
      <alignment horizontal="left"/>
    </xf>
    <xf numFmtId="0" fontId="99" fillId="3" borderId="69" xfId="0" applyFont="1" applyFill="1" applyBorder="1" applyAlignment="1">
      <alignment horizontal="left"/>
    </xf>
    <xf numFmtId="0" fontId="4" fillId="3" borderId="72" xfId="0" applyFont="1" applyFill="1" applyBorder="1" applyAlignment="1">
      <alignment vertical="center"/>
    </xf>
    <xf numFmtId="0" fontId="3" fillId="3" borderId="73" xfId="0" applyFont="1" applyFill="1" applyBorder="1" applyAlignment="1">
      <alignment vertical="center"/>
    </xf>
    <xf numFmtId="0" fontId="3" fillId="3" borderId="74" xfId="0" applyFont="1" applyFill="1" applyBorder="1" applyAlignment="1">
      <alignment vertical="center"/>
    </xf>
    <xf numFmtId="0" fontId="3" fillId="0" borderId="57"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15" xfId="0" applyFont="1" applyBorder="1" applyAlignment="1">
      <alignment horizontal="center" vertical="center"/>
    </xf>
    <xf numFmtId="0" fontId="3" fillId="0" borderId="70" xfId="0" applyFont="1" applyBorder="1" applyAlignment="1">
      <alignment vertical="center"/>
    </xf>
    <xf numFmtId="0" fontId="4" fillId="0" borderId="70" xfId="0" applyFont="1" applyBorder="1" applyAlignment="1">
      <alignment vertical="center"/>
    </xf>
    <xf numFmtId="0" fontId="3" fillId="0" borderId="18" xfId="0" applyFont="1" applyBorder="1" applyAlignment="1">
      <alignment horizontal="center" vertical="center"/>
    </xf>
    <xf numFmtId="0" fontId="4" fillId="0" borderId="19" xfId="0" applyFont="1" applyBorder="1" applyAlignment="1">
      <alignment vertical="center"/>
    </xf>
    <xf numFmtId="0" fontId="3" fillId="3" borderId="53" xfId="0" applyFont="1" applyFill="1" applyBorder="1" applyAlignment="1">
      <alignment horizontal="center" vertical="center"/>
    </xf>
    <xf numFmtId="0" fontId="3" fillId="3" borderId="0" xfId="0" applyFont="1" applyFill="1" applyAlignment="1">
      <alignment vertical="center"/>
    </xf>
    <xf numFmtId="0" fontId="3" fillId="0" borderId="12" xfId="0" applyFont="1" applyBorder="1" applyAlignment="1">
      <alignment horizontal="center" vertical="center"/>
    </xf>
    <xf numFmtId="0" fontId="3" fillId="0" borderId="13" xfId="0" applyFont="1" applyBorder="1" applyAlignment="1">
      <alignment vertical="center"/>
    </xf>
    <xf numFmtId="0" fontId="3" fillId="0" borderId="76" xfId="0" applyFont="1" applyBorder="1" applyAlignment="1">
      <alignment horizontal="center" vertical="center"/>
    </xf>
    <xf numFmtId="0" fontId="3" fillId="0" borderId="77" xfId="0" applyFont="1" applyBorder="1" applyAlignment="1">
      <alignment vertical="center"/>
    </xf>
    <xf numFmtId="0" fontId="3" fillId="0" borderId="80" xfId="0" applyFont="1" applyBorder="1" applyAlignment="1">
      <alignment horizontal="center" vertical="center"/>
    </xf>
    <xf numFmtId="0" fontId="3" fillId="0" borderId="81" xfId="0" applyFont="1" applyBorder="1" applyAlignment="1">
      <alignment vertical="center"/>
    </xf>
    <xf numFmtId="0" fontId="4" fillId="0" borderId="0" xfId="0" applyFont="1" applyAlignment="1">
      <alignment horizontal="center"/>
    </xf>
    <xf numFmtId="0" fontId="86" fillId="0" borderId="70" xfId="0" applyFont="1" applyBorder="1" applyAlignment="1">
      <alignment horizontal="center" vertical="center" wrapText="1"/>
    </xf>
    <xf numFmtId="0" fontId="86" fillId="0" borderId="71" xfId="0" applyFont="1" applyBorder="1" applyAlignment="1">
      <alignment horizontal="center" vertical="center" wrapText="1"/>
    </xf>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1" xfId="0" applyFont="1" applyFill="1" applyBorder="1" applyAlignment="1">
      <alignment horizontal="left" vertical="center" wrapText="1"/>
    </xf>
    <xf numFmtId="0" fontId="3" fillId="0" borderId="15" xfId="0" applyFont="1" applyBorder="1" applyAlignment="1">
      <alignment horizontal="right" vertical="center" wrapText="1"/>
    </xf>
    <xf numFmtId="0" fontId="100" fillId="0" borderId="15" xfId="0" applyFont="1" applyBorder="1" applyAlignment="1">
      <alignment horizontal="right" vertical="center" wrapText="1"/>
    </xf>
    <xf numFmtId="0" fontId="4" fillId="0" borderId="15"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18" xfId="4" applyNumberFormat="1" applyFont="1" applyBorder="1" applyAlignment="1" applyProtection="1">
      <alignment horizontal="left" vertical="center"/>
      <protection locked="0"/>
    </xf>
    <xf numFmtId="0" fontId="102" fillId="0" borderId="19" xfId="8" applyFont="1" applyBorder="1" applyAlignment="1" applyProtection="1">
      <alignment horizontal="left" vertical="center" wrapText="1"/>
      <protection locked="0"/>
    </xf>
    <xf numFmtId="0" fontId="84" fillId="0" borderId="70" xfId="0" applyFont="1" applyBorder="1" applyAlignment="1">
      <alignment vertical="center" wrapText="1"/>
    </xf>
    <xf numFmtId="14" fontId="2" fillId="3" borderId="70" xfId="7" quotePrefix="1" applyNumberFormat="1" applyFont="1" applyFill="1" applyBorder="1" applyAlignment="1" applyProtection="1">
      <alignment horizontal="left"/>
      <protection locked="0"/>
    </xf>
    <xf numFmtId="0" fontId="6" fillId="0" borderId="70" xfId="15" applyFill="1" applyBorder="1" applyAlignment="1" applyProtection="1"/>
    <xf numFmtId="49" fontId="84" fillId="0" borderId="70"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100" fillId="0" borderId="85" xfId="0" applyFont="1" applyBorder="1" applyAlignment="1">
      <alignment horizontal="left" vertical="center" wrapText="1"/>
    </xf>
    <xf numFmtId="10" fontId="4" fillId="35" borderId="85" xfId="0" applyNumberFormat="1" applyFont="1" applyFill="1" applyBorder="1" applyAlignment="1">
      <alignment horizontal="center" vertical="center" wrapText="1"/>
    </xf>
    <xf numFmtId="0" fontId="4" fillId="35" borderId="85" xfId="0" applyFont="1" applyFill="1" applyBorder="1" applyAlignment="1">
      <alignment horizontal="left" vertical="center" wrapText="1"/>
    </xf>
    <xf numFmtId="0" fontId="3" fillId="0" borderId="85" xfId="0" applyFont="1" applyBorder="1" applyAlignment="1">
      <alignment horizontal="left" vertical="center" wrapText="1"/>
    </xf>
    <xf numFmtId="0" fontId="4" fillId="35" borderId="72" xfId="0" applyFont="1" applyFill="1" applyBorder="1" applyAlignment="1">
      <alignment vertical="center" wrapText="1"/>
    </xf>
    <xf numFmtId="0" fontId="4" fillId="35" borderId="84" xfId="0" applyFont="1" applyFill="1" applyBorder="1" applyAlignment="1">
      <alignment vertical="center" wrapText="1"/>
    </xf>
    <xf numFmtId="0" fontId="4" fillId="35" borderId="59" xfId="0" applyFont="1" applyFill="1" applyBorder="1" applyAlignment="1">
      <alignment vertical="center" wrapText="1"/>
    </xf>
    <xf numFmtId="0" fontId="4" fillId="35" borderId="26" xfId="0" applyFont="1" applyFill="1" applyBorder="1" applyAlignment="1">
      <alignment vertical="center" wrapText="1"/>
    </xf>
    <xf numFmtId="0" fontId="84" fillId="0" borderId="85" xfId="0" applyFont="1" applyBorder="1"/>
    <xf numFmtId="0" fontId="6" fillId="0" borderId="85" xfId="15" applyFill="1" applyBorder="1" applyAlignment="1" applyProtection="1">
      <alignment horizontal="left" vertical="center"/>
    </xf>
    <xf numFmtId="0" fontId="6" fillId="0" borderId="85" xfId="15" applyBorder="1" applyAlignment="1" applyProtection="1"/>
    <xf numFmtId="0" fontId="6" fillId="0" borderId="85" xfId="15" applyFill="1" applyBorder="1" applyAlignment="1" applyProtection="1">
      <alignment horizontal="left" vertical="center" wrapText="1"/>
    </xf>
    <xf numFmtId="0" fontId="6" fillId="0" borderId="85" xfId="15"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2" xfId="18" applyFont="1" applyBorder="1"/>
    <xf numFmtId="0" fontId="2" fillId="2" borderId="15" xfId="0" applyFont="1" applyFill="1" applyBorder="1" applyAlignment="1">
      <alignment horizontal="right" vertical="center"/>
    </xf>
    <xf numFmtId="0" fontId="45" fillId="0" borderId="15" xfId="0" applyFont="1" applyBorder="1" applyAlignment="1">
      <alignment horizontal="center" vertical="center" wrapText="1"/>
    </xf>
    <xf numFmtId="0" fontId="2" fillId="2" borderId="18" xfId="0" applyFont="1" applyFill="1" applyBorder="1" applyAlignment="1">
      <alignment horizontal="right" vertical="center"/>
    </xf>
    <xf numFmtId="0" fontId="2" fillId="2" borderId="76" xfId="0" applyFont="1" applyFill="1" applyBorder="1" applyAlignment="1">
      <alignment horizontal="right" vertical="center"/>
    </xf>
    <xf numFmtId="0" fontId="2" fillId="0" borderId="83" xfId="0" applyFont="1" applyBorder="1" applyAlignment="1">
      <alignment vertical="center" wrapText="1"/>
    </xf>
    <xf numFmtId="191" fontId="87" fillId="2" borderId="79" xfId="0" applyNumberFormat="1" applyFont="1" applyFill="1" applyBorder="1" applyAlignment="1" applyProtection="1">
      <alignment vertical="center"/>
      <protection locked="0"/>
    </xf>
    <xf numFmtId="0" fontId="6" fillId="0" borderId="100" xfId="15" applyBorder="1" applyAlignment="1" applyProtection="1"/>
    <xf numFmtId="0" fontId="0" fillId="0" borderId="100" xfId="0" applyBorder="1" applyAlignment="1">
      <alignment horizontal="center"/>
    </xf>
    <xf numFmtId="0" fontId="0" fillId="0" borderId="109" xfId="0" applyBorder="1" applyAlignment="1">
      <alignment horizontal="center"/>
    </xf>
    <xf numFmtId="0" fontId="2" fillId="0" borderId="109" xfId="0" applyFont="1" applyBorder="1" applyAlignment="1">
      <alignment horizontal="center" vertical="center" wrapText="1"/>
    </xf>
    <xf numFmtId="0" fontId="0" fillId="0" borderId="109" xfId="0" applyBorder="1" applyAlignment="1">
      <alignment horizontal="center" vertical="center"/>
    </xf>
    <xf numFmtId="0" fontId="2" fillId="0" borderId="112" xfId="0" applyFont="1" applyBorder="1" applyAlignment="1">
      <alignment horizontal="left" vertical="center" wrapText="1" indent="4"/>
    </xf>
    <xf numFmtId="0" fontId="45" fillId="0" borderId="112" xfId="0" applyFont="1" applyBorder="1" applyAlignment="1">
      <alignment vertical="center" wrapText="1"/>
    </xf>
    <xf numFmtId="0" fontId="2" fillId="0" borderId="109" xfId="0" applyFont="1" applyBorder="1" applyAlignment="1" applyProtection="1">
      <alignment horizontal="left" vertical="center" indent="11"/>
      <protection locked="0"/>
    </xf>
    <xf numFmtId="0" fontId="46" fillId="0" borderId="109" xfId="0" applyFont="1" applyBorder="1" applyAlignment="1" applyProtection="1">
      <alignment horizontal="left" vertical="center" indent="17"/>
      <protection locked="0"/>
    </xf>
    <xf numFmtId="0" fontId="2" fillId="0" borderId="112" xfId="0" applyFont="1" applyBorder="1" applyAlignment="1">
      <alignment horizontal="left" vertical="center" wrapText="1"/>
    </xf>
    <xf numFmtId="191" fontId="94" fillId="0" borderId="0" xfId="0" applyNumberFormat="1" applyFont="1" applyAlignment="1">
      <alignment horizontal="right"/>
    </xf>
    <xf numFmtId="0" fontId="84" fillId="0" borderId="109" xfId="0" applyFont="1" applyBorder="1" applyAlignment="1">
      <alignment horizontal="center"/>
    </xf>
    <xf numFmtId="0" fontId="105" fillId="0" borderId="0" xfId="0" applyFont="1"/>
    <xf numFmtId="0" fontId="106" fillId="0" borderId="0" xfId="0" applyFont="1"/>
    <xf numFmtId="0" fontId="320" fillId="0" borderId="0" xfId="0" applyFont="1"/>
    <xf numFmtId="169" fontId="9" fillId="36" borderId="82" xfId="18" applyBorder="1"/>
    <xf numFmtId="0" fontId="94" fillId="0" borderId="169" xfId="0" applyFont="1" applyBorder="1" applyAlignment="1">
      <alignment horizontal="center" vertical="center" wrapText="1"/>
    </xf>
    <xf numFmtId="0" fontId="94" fillId="0" borderId="0" xfId="0" applyFont="1"/>
    <xf numFmtId="0" fontId="321" fillId="0" borderId="0" xfId="0" applyFont="1"/>
    <xf numFmtId="0" fontId="94" fillId="0" borderId="100" xfId="0" applyFont="1" applyBorder="1" applyAlignment="1">
      <alignment horizontal="center" vertical="center" wrapText="1"/>
    </xf>
    <xf numFmtId="0" fontId="323" fillId="0" borderId="100" xfId="20951" applyFont="1" applyBorder="1" applyAlignment="1">
      <alignment horizontal="center" vertical="center" wrapText="1"/>
    </xf>
    <xf numFmtId="0" fontId="323" fillId="0" borderId="109" xfId="20951" applyFont="1" applyBorder="1" applyAlignment="1">
      <alignment horizontal="center" vertical="center" wrapText="1"/>
    </xf>
    <xf numFmtId="0" fontId="321" fillId="0" borderId="0" xfId="0" applyFont="1" applyAlignment="1">
      <alignment horizontal="center"/>
    </xf>
    <xf numFmtId="0" fontId="321" fillId="0" borderId="0" xfId="0" applyFont="1" applyAlignment="1">
      <alignment horizontal="left" vertical="center"/>
    </xf>
    <xf numFmtId="0" fontId="86" fillId="0" borderId="109" xfId="0" applyFont="1" applyBorder="1" applyAlignment="1">
      <alignment vertical="center"/>
    </xf>
    <xf numFmtId="0" fontId="45" fillId="0" borderId="109" xfId="0" applyFont="1" applyBorder="1" applyAlignment="1">
      <alignment vertical="center" wrapText="1"/>
    </xf>
    <xf numFmtId="0" fontId="6" fillId="0" borderId="175" xfId="15" applyFill="1" applyBorder="1" applyAlignment="1" applyProtection="1"/>
    <xf numFmtId="0" fontId="84" fillId="0" borderId="175" xfId="0" applyFont="1" applyBorder="1"/>
    <xf numFmtId="0" fontId="84" fillId="0" borderId="0" xfId="0" applyFont="1" applyAlignment="1">
      <alignment vertical="top" wrapText="1"/>
    </xf>
    <xf numFmtId="0" fontId="0" fillId="0" borderId="0" xfId="0" applyAlignment="1">
      <alignment vertical="top"/>
    </xf>
    <xf numFmtId="0" fontId="91" fillId="3" borderId="0" xfId="0" applyFont="1" applyFill="1" applyAlignment="1" applyProtection="1">
      <alignment vertical="center"/>
      <protection locked="0"/>
    </xf>
    <xf numFmtId="0" fontId="328" fillId="3" borderId="175" xfId="4" applyFont="1" applyFill="1" applyBorder="1" applyAlignment="1" applyProtection="1">
      <alignment vertical="center" wrapText="1"/>
      <protection locked="0"/>
    </xf>
    <xf numFmtId="0" fontId="328" fillId="0" borderId="175" xfId="0" applyFont="1" applyBorder="1" applyAlignment="1" applyProtection="1">
      <alignment horizontal="center" vertical="center" wrapText="1"/>
      <protection locked="0"/>
    </xf>
    <xf numFmtId="3" fontId="328" fillId="3" borderId="175" xfId="1" applyNumberFormat="1" applyFont="1" applyFill="1" applyBorder="1" applyAlignment="1" applyProtection="1">
      <alignment horizontal="center" vertical="center" wrapText="1"/>
      <protection locked="0"/>
    </xf>
    <xf numFmtId="9" fontId="328" fillId="3" borderId="175" xfId="13" applyNumberFormat="1" applyFont="1" applyFill="1" applyBorder="1" applyAlignment="1" applyProtection="1">
      <alignment horizontal="center" vertical="center" wrapText="1"/>
      <protection locked="0"/>
    </xf>
    <xf numFmtId="0" fontId="328" fillId="3" borderId="175" xfId="0" applyFont="1" applyFill="1" applyBorder="1" applyAlignment="1" applyProtection="1">
      <alignment horizontal="center" vertical="center" wrapText="1"/>
      <protection locked="0"/>
    </xf>
    <xf numFmtId="0" fontId="91" fillId="3" borderId="175" xfId="0" applyFont="1" applyFill="1" applyBorder="1" applyProtection="1">
      <protection locked="0"/>
    </xf>
    <xf numFmtId="3" fontId="328" fillId="146" borderId="175" xfId="4" applyNumberFormat="1" applyFont="1" applyFill="1" applyBorder="1"/>
    <xf numFmtId="0" fontId="329" fillId="3" borderId="175" xfId="0" applyFont="1" applyFill="1" applyBorder="1" applyAlignment="1" applyProtection="1">
      <alignment horizontal="right"/>
      <protection locked="0"/>
    </xf>
    <xf numFmtId="0" fontId="328" fillId="3" borderId="175" xfId="0" applyFont="1" applyFill="1" applyBorder="1" applyAlignment="1" applyProtection="1">
      <alignment horizontal="left" vertical="center"/>
      <protection locked="0"/>
    </xf>
    <xf numFmtId="0" fontId="328" fillId="3" borderId="175" xfId="4" applyFont="1" applyFill="1" applyBorder="1" applyProtection="1">
      <protection locked="0"/>
    </xf>
    <xf numFmtId="0" fontId="330" fillId="3" borderId="175" xfId="0" applyFont="1" applyFill="1" applyBorder="1" applyAlignment="1" applyProtection="1">
      <alignment horizontal="right"/>
      <protection locked="0"/>
    </xf>
    <xf numFmtId="0" fontId="328" fillId="0" borderId="175" xfId="0" applyFont="1" applyBorder="1" applyAlignment="1" applyProtection="1">
      <alignment horizontal="left" vertical="center"/>
      <protection locked="0"/>
    </xf>
    <xf numFmtId="0" fontId="91" fillId="3" borderId="175" xfId="14" applyFont="1" applyFill="1" applyBorder="1" applyProtection="1">
      <protection locked="0"/>
    </xf>
    <xf numFmtId="0" fontId="45" fillId="75" borderId="86" xfId="20949" applyFont="1" applyFill="1" applyBorder="1">
      <alignment vertical="center"/>
    </xf>
    <xf numFmtId="0" fontId="45" fillId="75" borderId="87" xfId="20949" applyFont="1" applyFill="1" applyBorder="1">
      <alignment vertical="center"/>
    </xf>
    <xf numFmtId="0" fontId="45" fillId="75" borderId="84" xfId="20949" applyFont="1" applyFill="1" applyBorder="1">
      <alignment vertical="center"/>
    </xf>
    <xf numFmtId="0" fontId="2" fillId="69" borderId="83" xfId="20949" applyFill="1" applyBorder="1" applyAlignment="1">
      <alignment horizontal="center" vertical="center"/>
    </xf>
    <xf numFmtId="0" fontId="2" fillId="69" borderId="84" xfId="20949" applyFill="1" applyBorder="1" applyAlignment="1">
      <alignment horizontal="left" vertical="center" wrapText="1"/>
    </xf>
    <xf numFmtId="0" fontId="45" fillId="76" borderId="85" xfId="20949" applyFont="1" applyFill="1" applyBorder="1" applyAlignment="1">
      <alignment horizontal="center" vertical="center"/>
    </xf>
    <xf numFmtId="0" fontId="45" fillId="76" borderId="87" xfId="20949" applyFont="1" applyFill="1" applyBorder="1" applyAlignment="1">
      <alignment vertical="top" wrapText="1"/>
    </xf>
    <xf numFmtId="164" fontId="45" fillId="75" borderId="84" xfId="6" applyNumberFormat="1" applyFont="1" applyFill="1" applyBorder="1" applyAlignment="1">
      <alignment horizontal="right" vertical="center"/>
    </xf>
    <xf numFmtId="0" fontId="2" fillId="69" borderId="87" xfId="20949" applyFill="1" applyBorder="1" applyAlignment="1">
      <alignment vertical="center" wrapText="1"/>
    </xf>
    <xf numFmtId="0" fontId="2" fillId="69" borderId="84" xfId="20949" applyFill="1" applyBorder="1" applyAlignment="1">
      <alignment horizontal="left" vertical="center"/>
    </xf>
    <xf numFmtId="0" fontId="2" fillId="3" borderId="83" xfId="20949" applyFill="1" applyBorder="1" applyAlignment="1">
      <alignment horizontal="center" vertical="center"/>
    </xf>
    <xf numFmtId="0" fontId="45" fillId="76" borderId="87" xfId="20949" applyFont="1" applyFill="1" applyBorder="1">
      <alignment vertical="center"/>
    </xf>
    <xf numFmtId="164" fontId="2" fillId="76" borderId="85" xfId="6" applyNumberFormat="1" applyFont="1" applyFill="1" applyBorder="1" applyAlignment="1" applyProtection="1">
      <alignment horizontal="right" vertical="center"/>
      <protection locked="0"/>
    </xf>
    <xf numFmtId="0" fontId="104" fillId="69" borderId="182" xfId="20949" applyFont="1" applyFill="1" applyBorder="1" applyAlignment="1" applyProtection="1">
      <alignment horizontal="center" vertical="center"/>
      <protection locked="0"/>
    </xf>
    <xf numFmtId="0" fontId="103" fillId="76" borderId="175" xfId="20949" applyFont="1" applyFill="1" applyBorder="1" applyAlignment="1" applyProtection="1">
      <alignment horizontal="center" vertical="center"/>
      <protection locked="0"/>
    </xf>
    <xf numFmtId="164" fontId="2" fillId="3" borderId="85" xfId="6" applyNumberFormat="1" applyFont="1" applyFill="1" applyBorder="1" applyAlignment="1" applyProtection="1">
      <alignment horizontal="right" vertical="center"/>
      <protection locked="0"/>
    </xf>
    <xf numFmtId="0" fontId="45" fillId="3" borderId="87" xfId="20949" applyFont="1" applyFill="1" applyBorder="1">
      <alignment vertical="center"/>
    </xf>
    <xf numFmtId="0" fontId="2" fillId="69" borderId="85" xfId="20949" applyFill="1" applyBorder="1" applyAlignment="1">
      <alignment horizontal="center" vertical="center"/>
    </xf>
    <xf numFmtId="0" fontId="331" fillId="0" borderId="0" xfId="0" applyFont="1" applyAlignment="1" applyProtection="1">
      <alignment vertical="center"/>
      <protection locked="0"/>
    </xf>
    <xf numFmtId="0" fontId="328" fillId="0" borderId="175" xfId="0" applyFont="1" applyBorder="1" applyAlignment="1" applyProtection="1">
      <alignment horizontal="center" vertical="top" wrapText="1"/>
      <protection locked="0"/>
    </xf>
    <xf numFmtId="0" fontId="91" fillId="3" borderId="175" xfId="0" applyFont="1" applyFill="1" applyBorder="1" applyAlignment="1" applyProtection="1">
      <alignment wrapText="1"/>
      <protection locked="0"/>
    </xf>
    <xf numFmtId="0" fontId="84" fillId="3" borderId="50" xfId="0" applyFont="1" applyFill="1" applyBorder="1"/>
    <xf numFmtId="0" fontId="84" fillId="3" borderId="88" xfId="0" applyFont="1" applyFill="1" applyBorder="1" applyAlignment="1">
      <alignment wrapText="1"/>
    </xf>
    <xf numFmtId="0" fontId="84" fillId="3" borderId="89" xfId="0" applyFont="1" applyFill="1" applyBorder="1"/>
    <xf numFmtId="0" fontId="86" fillId="3" borderId="65" xfId="0" applyFont="1" applyFill="1" applyBorder="1" applyAlignment="1">
      <alignment horizontal="center" wrapText="1"/>
    </xf>
    <xf numFmtId="0" fontId="84" fillId="0" borderId="85" xfId="0" applyFont="1" applyBorder="1" applyAlignment="1">
      <alignment horizontal="center"/>
    </xf>
    <xf numFmtId="0" fontId="84" fillId="3" borderId="53" xfId="0" applyFont="1" applyFill="1" applyBorder="1"/>
    <xf numFmtId="0" fontId="86" fillId="3" borderId="0" xfId="0" applyFont="1" applyFill="1" applyAlignment="1">
      <alignment horizontal="center" wrapText="1"/>
    </xf>
    <xf numFmtId="0" fontId="84" fillId="3" borderId="0" xfId="0" applyFont="1" applyFill="1" applyAlignment="1">
      <alignment horizontal="center"/>
    </xf>
    <xf numFmtId="0" fontId="84" fillId="3" borderId="82" xfId="0" applyFont="1" applyFill="1" applyBorder="1" applyAlignment="1">
      <alignment horizontal="center" vertical="center" wrapText="1"/>
    </xf>
    <xf numFmtId="0" fontId="84" fillId="0" borderId="85" xfId="0" applyFont="1" applyBorder="1" applyAlignment="1">
      <alignment wrapText="1"/>
    </xf>
    <xf numFmtId="0" fontId="88" fillId="0" borderId="85" xfId="0" applyFont="1" applyBorder="1" applyAlignment="1">
      <alignment horizontal="left" wrapText="1" indent="2"/>
    </xf>
    <xf numFmtId="0" fontId="86" fillId="0" borderId="15" xfId="0" applyFont="1" applyBorder="1"/>
    <xf numFmtId="0" fontId="86" fillId="0" borderId="85" xfId="0" applyFont="1" applyBorder="1" applyAlignment="1">
      <alignment wrapText="1"/>
    </xf>
    <xf numFmtId="0" fontId="90" fillId="3" borderId="53" xfId="0" applyFont="1" applyFill="1" applyBorder="1" applyAlignment="1">
      <alignment horizontal="left"/>
    </xf>
    <xf numFmtId="0" fontId="90" fillId="3" borderId="0" xfId="0" applyFont="1" applyFill="1" applyAlignment="1">
      <alignment horizontal="center"/>
    </xf>
    <xf numFmtId="0" fontId="88" fillId="0" borderId="85" xfId="0" applyFont="1" applyBorder="1" applyAlignment="1">
      <alignment horizontal="left" wrapText="1" indent="4"/>
    </xf>
    <xf numFmtId="0" fontId="84" fillId="3" borderId="0" xfId="0" applyFont="1" applyFill="1" applyAlignment="1">
      <alignment wrapText="1"/>
    </xf>
    <xf numFmtId="0" fontId="84" fillId="3" borderId="0" xfId="0" applyFont="1" applyFill="1"/>
    <xf numFmtId="0" fontId="84" fillId="3" borderId="82" xfId="0" applyFont="1" applyFill="1" applyBorder="1"/>
    <xf numFmtId="0" fontId="86" fillId="0" borderId="18" xfId="0" applyFont="1" applyBorder="1"/>
    <xf numFmtId="0" fontId="86" fillId="0" borderId="19" xfId="0" applyFont="1" applyBorder="1" applyAlignment="1">
      <alignment wrapText="1"/>
    </xf>
    <xf numFmtId="169" fontId="2" fillId="36" borderId="21" xfId="18" applyFont="1" applyBorder="1"/>
    <xf numFmtId="169" fontId="2" fillId="36" borderId="78" xfId="18" applyFont="1" applyBorder="1"/>
    <xf numFmtId="169" fontId="2" fillId="36" borderId="22" xfId="18" applyFont="1" applyBorder="1"/>
    <xf numFmtId="10" fontId="86" fillId="0" borderId="20" xfId="20948" applyNumberFormat="1" applyFont="1" applyBorder="1"/>
    <xf numFmtId="0" fontId="84" fillId="0" borderId="0" xfId="0" applyFont="1" applyAlignment="1">
      <alignment vertical="top"/>
    </xf>
    <xf numFmtId="0" fontId="332" fillId="0" borderId="0" xfId="0" applyFont="1"/>
    <xf numFmtId="0" fontId="104" fillId="0" borderId="0" xfId="10" applyFont="1"/>
    <xf numFmtId="0" fontId="333" fillId="0" borderId="0" xfId="10" applyFont="1"/>
    <xf numFmtId="0" fontId="334" fillId="0" borderId="109" xfId="0" applyFont="1" applyBorder="1" applyAlignment="1">
      <alignment horizontal="center" vertical="center" wrapText="1"/>
    </xf>
    <xf numFmtId="49" fontId="104" fillId="3" borderId="109" xfId="4" applyNumberFormat="1" applyFont="1" applyFill="1" applyBorder="1" applyAlignment="1" applyProtection="1">
      <alignment horizontal="right" vertical="center"/>
      <protection locked="0"/>
    </xf>
    <xf numFmtId="0" fontId="104" fillId="3" borderId="109" xfId="0" applyFont="1" applyFill="1" applyBorder="1" applyAlignment="1" applyProtection="1">
      <alignment horizontal="left" vertical="center" wrapText="1"/>
      <protection locked="0"/>
    </xf>
    <xf numFmtId="0" fontId="334" fillId="0" borderId="109" xfId="0" applyFont="1" applyBorder="1"/>
    <xf numFmtId="0" fontId="104" fillId="0" borderId="109" xfId="0" applyFont="1" applyBorder="1" applyAlignment="1" applyProtection="1">
      <alignment horizontal="left" vertical="center" wrapText="1"/>
      <protection locked="0"/>
    </xf>
    <xf numFmtId="0" fontId="335" fillId="0" borderId="109" xfId="0" applyFont="1" applyBorder="1" applyAlignment="1" applyProtection="1">
      <alignment horizontal="left" vertical="center" wrapText="1"/>
      <protection locked="0"/>
    </xf>
    <xf numFmtId="49" fontId="104" fillId="0" borderId="109" xfId="4" applyNumberFormat="1" applyFont="1" applyBorder="1" applyAlignment="1" applyProtection="1">
      <alignment horizontal="right" vertical="center"/>
      <protection locked="0"/>
    </xf>
    <xf numFmtId="49" fontId="103" fillId="0" borderId="109" xfId="4" applyNumberFormat="1" applyFont="1" applyBorder="1" applyAlignment="1" applyProtection="1">
      <alignment horizontal="right" vertical="center"/>
      <protection locked="0"/>
    </xf>
    <xf numFmtId="0" fontId="332" fillId="0" borderId="0" xfId="0" applyFont="1" applyAlignment="1">
      <alignment horizontal="left" vertical="top" wrapText="1"/>
    </xf>
    <xf numFmtId="0" fontId="104" fillId="0" borderId="0" xfId="0" applyFont="1"/>
    <xf numFmtId="0" fontId="104" fillId="0" borderId="0" xfId="0" applyFont="1" applyAlignment="1">
      <alignment wrapText="1"/>
    </xf>
    <xf numFmtId="0" fontId="104" fillId="0" borderId="109" xfId="0" applyFont="1" applyBorder="1" applyAlignment="1">
      <alignment horizontal="center" vertical="center"/>
    </xf>
    <xf numFmtId="0" fontId="104" fillId="0" borderId="109" xfId="0" applyFont="1" applyBorder="1" applyAlignment="1">
      <alignment horizontal="center" vertical="center" wrapText="1"/>
    </xf>
    <xf numFmtId="0" fontId="104" fillId="0" borderId="113" xfId="0" applyFont="1" applyBorder="1" applyAlignment="1">
      <alignment horizontal="center" vertical="center" wrapText="1"/>
    </xf>
    <xf numFmtId="49" fontId="104" fillId="3" borderId="109" xfId="4" applyNumberFormat="1" applyFont="1" applyFill="1" applyBorder="1" applyAlignment="1" applyProtection="1">
      <alignment horizontal="right" vertical="center" wrapText="1"/>
      <protection locked="0"/>
    </xf>
    <xf numFmtId="0" fontId="104" fillId="0" borderId="109" xfId="0" applyFont="1" applyBorder="1"/>
    <xf numFmtId="49" fontId="104" fillId="0" borderId="109" xfId="4" applyNumberFormat="1" applyFont="1" applyBorder="1" applyAlignment="1" applyProtection="1">
      <alignment horizontal="right" vertical="center" wrapText="1"/>
      <protection locked="0"/>
    </xf>
    <xf numFmtId="49" fontId="103" fillId="0" borderId="109" xfId="4" applyNumberFormat="1" applyFont="1" applyBorder="1" applyAlignment="1" applyProtection="1">
      <alignment horizontal="right" vertical="center" wrapText="1"/>
      <protection locked="0"/>
    </xf>
    <xf numFmtId="0" fontId="103" fillId="0" borderId="109" xfId="0" applyFont="1" applyBorder="1"/>
    <xf numFmtId="0" fontId="104" fillId="0" borderId="109" xfId="0" applyFont="1" applyBorder="1" applyAlignment="1">
      <alignment wrapText="1"/>
    </xf>
    <xf numFmtId="0" fontId="104" fillId="0" borderId="109" xfId="0" applyFont="1" applyBorder="1" applyAlignment="1">
      <alignment horizontal="left" indent="8"/>
    </xf>
    <xf numFmtId="0" fontId="332" fillId="0" borderId="0" xfId="0" applyFont="1" applyAlignment="1">
      <alignment wrapText="1"/>
    </xf>
    <xf numFmtId="0" fontId="104" fillId="0" borderId="109" xfId="0" applyFont="1" applyBorder="1" applyAlignment="1">
      <alignment horizontal="left" vertical="center" wrapText="1"/>
    </xf>
    <xf numFmtId="0" fontId="332" fillId="0" borderId="0" xfId="0" applyFont="1" applyAlignment="1">
      <alignment horizontal="left"/>
    </xf>
    <xf numFmtId="0" fontId="103" fillId="0" borderId="109" xfId="0" applyFont="1" applyBorder="1" applyAlignment="1">
      <alignment horizontal="left" indent="1"/>
    </xf>
    <xf numFmtId="0" fontId="103" fillId="0" borderId="109" xfId="0" applyFont="1" applyBorder="1" applyAlignment="1">
      <alignment horizontal="left" wrapText="1" indent="1"/>
    </xf>
    <xf numFmtId="0" fontId="332" fillId="0" borderId="109" xfId="0" applyFont="1" applyBorder="1"/>
    <xf numFmtId="0" fontId="104" fillId="0" borderId="109" xfId="0" applyFont="1" applyBorder="1" applyAlignment="1">
      <alignment horizontal="left" indent="1"/>
    </xf>
    <xf numFmtId="0" fontId="104" fillId="0" borderId="109" xfId="0" applyFont="1" applyBorder="1" applyAlignment="1">
      <alignment horizontal="left" indent="3"/>
    </xf>
    <xf numFmtId="0" fontId="104" fillId="0" borderId="109" xfId="0" applyFont="1" applyBorder="1" applyAlignment="1">
      <alignment horizontal="left" wrapText="1" indent="4"/>
    </xf>
    <xf numFmtId="0" fontId="104" fillId="0" borderId="109" xfId="0" applyFont="1" applyBorder="1" applyAlignment="1">
      <alignment horizontal="left" wrapText="1" indent="1"/>
    </xf>
    <xf numFmtId="0" fontId="103" fillId="0" borderId="109" xfId="0" applyFont="1" applyBorder="1" applyAlignment="1">
      <alignment horizontal="left" vertical="center" indent="1"/>
    </xf>
    <xf numFmtId="0" fontId="332" fillId="77" borderId="109" xfId="0" applyFont="1" applyFill="1" applyBorder="1"/>
    <xf numFmtId="0" fontId="332" fillId="0" borderId="109" xfId="0" applyFont="1" applyBorder="1" applyAlignment="1">
      <alignment horizontal="left" wrapText="1"/>
    </xf>
    <xf numFmtId="0" fontId="332" fillId="0" borderId="109" xfId="0" applyFont="1" applyBorder="1" applyAlignment="1">
      <alignment horizontal="left" wrapText="1" indent="2"/>
    </xf>
    <xf numFmtId="0" fontId="334" fillId="0" borderId="7" xfId="0" applyFont="1" applyBorder="1"/>
    <xf numFmtId="0" fontId="104" fillId="0" borderId="93" xfId="0" applyFont="1" applyBorder="1" applyAlignment="1">
      <alignment horizontal="center" vertical="center" wrapText="1"/>
    </xf>
    <xf numFmtId="0" fontId="104" fillId="0" borderId="112" xfId="0" applyFont="1" applyBorder="1" applyAlignment="1">
      <alignment horizontal="center" vertical="center" wrapText="1"/>
    </xf>
    <xf numFmtId="0" fontId="104" fillId="0" borderId="0" xfId="0" applyFont="1" applyAlignment="1">
      <alignment horizontal="center" vertical="center" wrapText="1"/>
    </xf>
    <xf numFmtId="0" fontId="104" fillId="0" borderId="92" xfId="0" applyFont="1" applyBorder="1" applyAlignment="1">
      <alignment horizontal="center" vertical="center" wrapText="1"/>
    </xf>
    <xf numFmtId="0" fontId="104" fillId="0" borderId="7" xfId="0" applyFont="1" applyBorder="1" applyAlignment="1">
      <alignment wrapText="1"/>
    </xf>
    <xf numFmtId="0" fontId="104" fillId="0" borderId="7" xfId="0" applyFont="1" applyBorder="1" applyAlignment="1">
      <alignment horizontal="center" vertical="center" wrapText="1"/>
    </xf>
    <xf numFmtId="0" fontId="104" fillId="0" borderId="109" xfId="0" applyFont="1" applyBorder="1" applyAlignment="1">
      <alignment horizontal="center"/>
    </xf>
    <xf numFmtId="0" fontId="104" fillId="0" borderId="0" xfId="0" applyFont="1" applyAlignment="1">
      <alignment horizontal="center" vertical="center"/>
    </xf>
    <xf numFmtId="0" fontId="6" fillId="0" borderId="188" xfId="15" applyBorder="1" applyAlignment="1" applyProtection="1">
      <alignment vertical="center"/>
    </xf>
    <xf numFmtId="10" fontId="2" fillId="0" borderId="3" xfId="20948" applyNumberFormat="1" applyFont="1" applyBorder="1" applyAlignment="1" applyProtection="1">
      <alignment horizontal="right" vertical="center" wrapText="1"/>
      <protection locked="0"/>
    </xf>
    <xf numFmtId="10" fontId="2" fillId="2" borderId="3" xfId="20948" applyNumberFormat="1" applyFont="1" applyFill="1" applyBorder="1" applyAlignment="1" applyProtection="1">
      <alignment vertical="center"/>
      <protection locked="0"/>
    </xf>
    <xf numFmtId="10" fontId="2" fillId="0" borderId="3" xfId="20948" applyNumberFormat="1" applyFont="1" applyBorder="1" applyAlignment="1" applyProtection="1">
      <alignment horizontal="center" vertical="center" wrapText="1"/>
      <protection locked="0"/>
    </xf>
    <xf numFmtId="10" fontId="2" fillId="2" borderId="83" xfId="20948" applyNumberFormat="1" applyFont="1" applyFill="1" applyBorder="1" applyAlignment="1" applyProtection="1">
      <alignment vertical="center"/>
      <protection locked="0"/>
    </xf>
    <xf numFmtId="10" fontId="2" fillId="2" borderId="19" xfId="20948" applyNumberFormat="1" applyFont="1" applyFill="1" applyBorder="1" applyAlignment="1" applyProtection="1">
      <alignment vertical="center"/>
      <protection locked="0"/>
    </xf>
    <xf numFmtId="164" fontId="321" fillId="0" borderId="100" xfId="6" applyNumberFormat="1" applyFont="1" applyBorder="1" applyAlignment="1">
      <alignment vertical="center"/>
    </xf>
    <xf numFmtId="164" fontId="321" fillId="35" borderId="100" xfId="6" applyNumberFormat="1" applyFont="1" applyFill="1" applyBorder="1" applyAlignment="1">
      <alignment vertical="center"/>
    </xf>
    <xf numFmtId="164" fontId="0" fillId="0" borderId="109" xfId="6" applyNumberFormat="1" applyFont="1" applyBorder="1"/>
    <xf numFmtId="164" fontId="0" fillId="0" borderId="175" xfId="6" applyNumberFormat="1" applyFont="1" applyBorder="1"/>
    <xf numFmtId="164" fontId="0" fillId="35" borderId="109" xfId="6" applyNumberFormat="1" applyFont="1" applyFill="1" applyBorder="1"/>
    <xf numFmtId="164" fontId="0" fillId="35" borderId="175" xfId="6" applyNumberFormat="1" applyFont="1" applyFill="1" applyBorder="1"/>
    <xf numFmtId="164" fontId="84" fillId="0" borderId="3" xfId="6" applyNumberFormat="1" applyFont="1" applyBorder="1"/>
    <xf numFmtId="164" fontId="84" fillId="35" borderId="19" xfId="6" applyNumberFormat="1" applyFont="1" applyFill="1" applyBorder="1"/>
    <xf numFmtId="164" fontId="84" fillId="0" borderId="15" xfId="6" applyNumberFormat="1" applyFont="1" applyBorder="1"/>
    <xf numFmtId="164" fontId="84" fillId="0" borderId="16" xfId="6" applyNumberFormat="1" applyFont="1" applyBorder="1"/>
    <xf numFmtId="164" fontId="84" fillId="0" borderId="17" xfId="6" applyNumberFormat="1" applyFont="1" applyBorder="1"/>
    <xf numFmtId="164" fontId="84" fillId="35" borderId="48" xfId="6" applyNumberFormat="1" applyFont="1" applyFill="1" applyBorder="1"/>
    <xf numFmtId="164" fontId="84" fillId="35" borderId="18" xfId="6" applyNumberFormat="1" applyFont="1" applyFill="1" applyBorder="1"/>
    <xf numFmtId="164" fontId="84" fillId="35" borderId="20" xfId="6" applyNumberFormat="1" applyFont="1" applyFill="1" applyBorder="1"/>
    <xf numFmtId="164" fontId="84" fillId="35" borderId="49" xfId="6" applyNumberFormat="1" applyFont="1" applyFill="1" applyBorder="1"/>
    <xf numFmtId="164" fontId="3" fillId="0" borderId="3" xfId="6" applyNumberFormat="1" applyFont="1" applyBorder="1"/>
    <xf numFmtId="164" fontId="3" fillId="0" borderId="8" xfId="6" applyNumberFormat="1" applyFont="1" applyBorder="1"/>
    <xf numFmtId="0" fontId="96" fillId="0" borderId="3" xfId="0" applyFont="1" applyBorder="1" applyAlignment="1">
      <alignment horizontal="center" vertical="center" wrapText="1"/>
    </xf>
    <xf numFmtId="164" fontId="4" fillId="0" borderId="19" xfId="6" applyNumberFormat="1" applyFont="1" applyBorder="1" applyAlignment="1">
      <alignment vertical="center"/>
    </xf>
    <xf numFmtId="164" fontId="4" fillId="0" borderId="21" xfId="6" applyNumberFormat="1" applyFont="1" applyBorder="1" applyAlignment="1">
      <alignment vertical="center"/>
    </xf>
    <xf numFmtId="164" fontId="4" fillId="0" borderId="20" xfId="6" applyNumberFormat="1" applyFont="1" applyBorder="1" applyAlignment="1">
      <alignment vertical="center"/>
    </xf>
    <xf numFmtId="169" fontId="96" fillId="36" borderId="51" xfId="18" applyFont="1" applyBorder="1"/>
    <xf numFmtId="164" fontId="4" fillId="0" borderId="189" xfId="6" applyNumberFormat="1" applyFont="1" applyBorder="1" applyAlignment="1">
      <alignment vertical="center"/>
    </xf>
    <xf numFmtId="164" fontId="4" fillId="0" borderId="190" xfId="6" applyNumberFormat="1" applyFont="1" applyBorder="1" applyAlignment="1">
      <alignment vertical="center"/>
    </xf>
    <xf numFmtId="169" fontId="96" fillId="36" borderId="21" xfId="18" applyFont="1" applyBorder="1"/>
    <xf numFmtId="169" fontId="96" fillId="36" borderId="78" xfId="18" applyFont="1" applyBorder="1"/>
    <xf numFmtId="169" fontId="96" fillId="36" borderId="22" xfId="18" applyFont="1" applyBorder="1"/>
    <xf numFmtId="164" fontId="4" fillId="0" borderId="172" xfId="6" applyNumberFormat="1" applyFont="1" applyBorder="1" applyAlignment="1">
      <alignment vertical="center"/>
    </xf>
    <xf numFmtId="164" fontId="4" fillId="0" borderId="79" xfId="6" applyNumberFormat="1" applyFont="1" applyBorder="1" applyAlignment="1">
      <alignment vertical="center"/>
    </xf>
    <xf numFmtId="169" fontId="96" fillId="36" borderId="27" xfId="18" applyFont="1" applyBorder="1"/>
    <xf numFmtId="164" fontId="328" fillId="146" borderId="175" xfId="6" applyNumberFormat="1" applyFont="1" applyFill="1" applyBorder="1"/>
    <xf numFmtId="164" fontId="91" fillId="75" borderId="175" xfId="6" applyNumberFormat="1" applyFont="1" applyFill="1" applyBorder="1"/>
    <xf numFmtId="164" fontId="328" fillId="0" borderId="175" xfId="6" applyNumberFormat="1" applyFont="1" applyBorder="1"/>
    <xf numFmtId="164" fontId="104" fillId="35" borderId="109" xfId="6" applyNumberFormat="1" applyFont="1" applyFill="1" applyBorder="1"/>
    <xf numFmtId="164" fontId="103" fillId="0" borderId="109" xfId="6" applyNumberFormat="1" applyFont="1" applyBorder="1"/>
    <xf numFmtId="164" fontId="103" fillId="35" borderId="109" xfId="6" applyNumberFormat="1" applyFont="1" applyFill="1" applyBorder="1"/>
    <xf numFmtId="164" fontId="103" fillId="0" borderId="175" xfId="6" applyNumberFormat="1" applyFont="1" applyBorder="1" applyAlignment="1">
      <alignment vertical="center"/>
    </xf>
    <xf numFmtId="164" fontId="104" fillId="0" borderId="175" xfId="6" applyNumberFormat="1" applyFont="1" applyBorder="1" applyAlignment="1">
      <alignment horizontal="left" vertical="center"/>
    </xf>
    <xf numFmtId="164" fontId="104" fillId="0" borderId="175" xfId="6" applyNumberFormat="1" applyFont="1" applyBorder="1" applyAlignment="1">
      <alignment vertical="center"/>
    </xf>
    <xf numFmtId="164" fontId="104" fillId="0" borderId="175" xfId="6" applyNumberFormat="1" applyFont="1" applyFill="1" applyBorder="1" applyAlignment="1">
      <alignment horizontal="left" vertical="center"/>
    </xf>
    <xf numFmtId="164" fontId="104" fillId="0" borderId="175" xfId="6" applyNumberFormat="1" applyFont="1" applyFill="1" applyBorder="1" applyAlignment="1">
      <alignment vertical="center"/>
    </xf>
    <xf numFmtId="164" fontId="104" fillId="146" borderId="175" xfId="6" applyNumberFormat="1" applyFont="1" applyFill="1" applyBorder="1" applyAlignment="1">
      <alignment vertical="center"/>
    </xf>
    <xf numFmtId="164" fontId="2" fillId="0" borderId="175" xfId="6" applyNumberFormat="1" applyFont="1" applyBorder="1" applyAlignment="1">
      <alignment vertical="center"/>
    </xf>
    <xf numFmtId="0" fontId="338" fillId="0" borderId="0" xfId="10" applyFont="1"/>
    <xf numFmtId="0" fontId="2" fillId="0" borderId="93" xfId="0" applyFont="1" applyBorder="1" applyAlignment="1">
      <alignment horizontal="center" vertical="center" wrapText="1"/>
    </xf>
    <xf numFmtId="0" fontId="2" fillId="0" borderId="112" xfId="0" applyFont="1" applyBorder="1" applyAlignment="1">
      <alignment horizontal="center" vertical="center" wrapText="1"/>
    </xf>
    <xf numFmtId="0" fontId="2" fillId="0" borderId="0" xfId="0" applyFont="1" applyAlignment="1">
      <alignment horizontal="center" vertical="center" wrapText="1"/>
    </xf>
    <xf numFmtId="0" fontId="2" fillId="0" borderId="65" xfId="0" applyFont="1" applyBorder="1" applyAlignment="1">
      <alignment horizontal="center" vertical="center" wrapText="1"/>
    </xf>
    <xf numFmtId="0" fontId="2" fillId="0" borderId="7" xfId="0" applyFont="1" applyBorder="1" applyAlignment="1">
      <alignment wrapText="1"/>
    </xf>
    <xf numFmtId="0" fontId="2" fillId="0" borderId="109" xfId="0" applyFont="1" applyBorder="1" applyAlignment="1">
      <alignment horizontal="center" vertical="center"/>
    </xf>
    <xf numFmtId="0" fontId="2" fillId="0" borderId="7"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57" xfId="0" applyFont="1" applyBorder="1"/>
    <xf numFmtId="0" fontId="45" fillId="0" borderId="54" xfId="0" applyFont="1" applyBorder="1"/>
    <xf numFmtId="0" fontId="2" fillId="0" borderId="15" xfId="0" applyFont="1" applyBorder="1" applyAlignment="1">
      <alignment horizontal="left" indent="1"/>
    </xf>
    <xf numFmtId="0" fontId="2" fillId="0" borderId="71" xfId="0" applyFont="1" applyBorder="1" applyAlignment="1">
      <alignment horizontal="left" indent="1"/>
    </xf>
    <xf numFmtId="0" fontId="2" fillId="0" borderId="15" xfId="0" applyFont="1" applyBorder="1" applyAlignment="1">
      <alignment horizontal="left" indent="2"/>
    </xf>
    <xf numFmtId="0" fontId="2" fillId="0" borderId="71" xfId="0" applyFont="1" applyBorder="1" applyAlignment="1">
      <alignment horizontal="left" indent="2"/>
    </xf>
    <xf numFmtId="49" fontId="2" fillId="0" borderId="15" xfId="0" applyNumberFormat="1" applyFont="1" applyBorder="1" applyAlignment="1">
      <alignment horizontal="left" indent="3"/>
    </xf>
    <xf numFmtId="49" fontId="2" fillId="0" borderId="71" xfId="0" applyNumberFormat="1" applyFont="1" applyBorder="1" applyAlignment="1">
      <alignment horizontal="left" indent="3"/>
    </xf>
    <xf numFmtId="49" fontId="2" fillId="0" borderId="15" xfId="0" applyNumberFormat="1" applyFont="1" applyBorder="1" applyAlignment="1">
      <alignment horizontal="left" indent="1"/>
    </xf>
    <xf numFmtId="49" fontId="2" fillId="0" borderId="71" xfId="0" applyNumberFormat="1" applyFont="1" applyBorder="1" applyAlignment="1">
      <alignment horizontal="left" indent="1"/>
    </xf>
    <xf numFmtId="49" fontId="2" fillId="0" borderId="15" xfId="0" applyNumberFormat="1" applyFont="1" applyBorder="1" applyAlignment="1">
      <alignment horizontal="left" wrapText="1" indent="2"/>
    </xf>
    <xf numFmtId="49" fontId="2" fillId="0" borderId="71" xfId="0" applyNumberFormat="1" applyFont="1" applyBorder="1" applyAlignment="1">
      <alignment horizontal="left" vertical="top" wrapText="1" indent="2"/>
    </xf>
    <xf numFmtId="49" fontId="2" fillId="0" borderId="15" xfId="0" applyNumberFormat="1" applyFont="1" applyBorder="1" applyAlignment="1">
      <alignment horizontal="left" wrapText="1" indent="3"/>
    </xf>
    <xf numFmtId="49" fontId="2" fillId="0" borderId="71" xfId="0" applyNumberFormat="1" applyFont="1" applyBorder="1" applyAlignment="1">
      <alignment horizontal="left" wrapText="1" indent="3"/>
    </xf>
    <xf numFmtId="49" fontId="2" fillId="0" borderId="71" xfId="0" applyNumberFormat="1" applyFont="1" applyBorder="1" applyAlignment="1">
      <alignment horizontal="left" wrapText="1" indent="2"/>
    </xf>
    <xf numFmtId="0" fontId="2" fillId="0" borderId="15" xfId="0" applyFont="1" applyBorder="1" applyAlignment="1">
      <alignment horizontal="left" wrapText="1" indent="1"/>
    </xf>
    <xf numFmtId="49" fontId="2" fillId="0" borderId="71" xfId="0" applyNumberFormat="1" applyFont="1" applyBorder="1" applyAlignment="1">
      <alignment horizontal="left" wrapText="1" indent="1"/>
    </xf>
    <xf numFmtId="0" fontId="2" fillId="0" borderId="18" xfId="0" applyFont="1" applyBorder="1" applyAlignment="1">
      <alignment horizontal="left" wrapText="1" indent="1"/>
    </xf>
    <xf numFmtId="49" fontId="2" fillId="0" borderId="20" xfId="0" applyNumberFormat="1" applyFont="1" applyBorder="1" applyAlignment="1">
      <alignment horizontal="left" wrapText="1" indent="1"/>
    </xf>
    <xf numFmtId="0" fontId="2" fillId="0" borderId="113" xfId="0" applyFont="1" applyBorder="1" applyAlignment="1">
      <alignment horizontal="center" vertical="center" wrapText="1"/>
    </xf>
    <xf numFmtId="0" fontId="2" fillId="0" borderId="109" xfId="0" applyFont="1" applyBorder="1"/>
    <xf numFmtId="0" fontId="2" fillId="0" borderId="0" xfId="0" applyFont="1" applyAlignment="1">
      <alignment horizontal="left"/>
    </xf>
    <xf numFmtId="0" fontId="2" fillId="0" borderId="0" xfId="0" applyFont="1" applyAlignment="1">
      <alignment horizontal="center" vertical="center"/>
    </xf>
    <xf numFmtId="0" fontId="45" fillId="0" borderId="109" xfId="0" applyFont="1" applyBorder="1" applyAlignment="1">
      <alignment horizontal="center" vertical="center" wrapText="1"/>
    </xf>
    <xf numFmtId="0" fontId="2" fillId="0" borderId="109" xfId="0" applyFont="1" applyBorder="1" applyAlignment="1">
      <alignment horizontal="left" indent="1"/>
    </xf>
    <xf numFmtId="0" fontId="2" fillId="0" borderId="7" xfId="0" applyFont="1" applyBorder="1"/>
    <xf numFmtId="0" fontId="2" fillId="0" borderId="109" xfId="0" applyFont="1" applyBorder="1" applyAlignment="1">
      <alignment horizontal="left" indent="2"/>
    </xf>
    <xf numFmtId="0" fontId="2" fillId="0" borderId="106" xfId="0" applyFont="1" applyBorder="1" applyAlignment="1">
      <alignment vertical="center" wrapText="1" readingOrder="1"/>
    </xf>
    <xf numFmtId="0" fontId="2" fillId="0" borderId="107" xfId="0" applyFont="1" applyBorder="1" applyAlignment="1">
      <alignment vertical="center" wrapText="1" readingOrder="1"/>
    </xf>
    <xf numFmtId="0" fontId="2" fillId="0" borderId="109" xfId="0" applyFont="1" applyBorder="1" applyAlignment="1">
      <alignment horizontal="left" indent="3"/>
    </xf>
    <xf numFmtId="0" fontId="2" fillId="0" borderId="107" xfId="0" applyFont="1" applyBorder="1" applyAlignment="1">
      <alignment horizontal="left" vertical="center" wrapText="1" indent="1" readingOrder="1"/>
    </xf>
    <xf numFmtId="0" fontId="2" fillId="0" borderId="113" xfId="0" applyFont="1" applyBorder="1" applyAlignment="1">
      <alignment horizontal="left" indent="2"/>
    </xf>
    <xf numFmtId="0" fontId="2" fillId="0" borderId="108" xfId="0" applyFont="1" applyBorder="1" applyAlignment="1">
      <alignment vertical="center" wrapText="1" readingOrder="1"/>
    </xf>
    <xf numFmtId="0" fontId="45" fillId="0" borderId="109" xfId="0" applyFont="1" applyBorder="1" applyAlignment="1">
      <alignment vertical="center" wrapText="1" readingOrder="1"/>
    </xf>
    <xf numFmtId="0" fontId="321" fillId="0" borderId="100" xfId="0" applyFont="1" applyBorder="1" applyAlignment="1">
      <alignment horizontal="center" vertical="center"/>
    </xf>
    <xf numFmtId="0" fontId="112" fillId="0" borderId="188" xfId="0" applyFont="1" applyBorder="1" applyAlignment="1">
      <alignment horizontal="justify" vertical="center" wrapText="1"/>
    </xf>
    <xf numFmtId="0" fontId="111" fillId="0" borderId="188" xfId="0" applyFont="1" applyBorder="1" applyAlignment="1">
      <alignment horizontal="left" vertical="center" wrapText="1" indent="1"/>
    </xf>
    <xf numFmtId="0" fontId="110" fillId="0" borderId="188" xfId="0" applyFont="1" applyBorder="1" applyAlignment="1">
      <alignment horizontal="justify" vertical="center" wrapText="1"/>
    </xf>
    <xf numFmtId="0" fontId="112" fillId="3" borderId="188" xfId="0" applyFont="1" applyFill="1" applyBorder="1" applyAlignment="1">
      <alignment horizontal="justify" vertical="center" wrapText="1"/>
    </xf>
    <xf numFmtId="0" fontId="113" fillId="0" borderId="188" xfId="0" applyFont="1" applyBorder="1" applyAlignment="1">
      <alignment horizontal="left" vertical="center" wrapText="1" indent="1"/>
    </xf>
    <xf numFmtId="0" fontId="112" fillId="0" borderId="188" xfId="0" applyFont="1" applyBorder="1" applyAlignment="1">
      <alignment horizontal="left" vertical="center" wrapText="1"/>
    </xf>
    <xf numFmtId="0" fontId="110" fillId="0" borderId="188" xfId="0" applyFont="1" applyBorder="1" applyAlignment="1">
      <alignment vertical="center" wrapText="1"/>
    </xf>
    <xf numFmtId="0" fontId="111" fillId="0" borderId="188" xfId="0" applyFont="1" applyBorder="1" applyAlignment="1">
      <alignment horizontal="left" vertical="center" wrapText="1"/>
    </xf>
    <xf numFmtId="0" fontId="112" fillId="0" borderId="188" xfId="0" applyFont="1" applyBorder="1" applyAlignment="1">
      <alignment vertical="center" wrapText="1"/>
    </xf>
    <xf numFmtId="0" fontId="112" fillId="3" borderId="188" xfId="0" applyFont="1" applyFill="1" applyBorder="1" applyAlignment="1">
      <alignment vertical="center" wrapText="1"/>
    </xf>
    <xf numFmtId="0" fontId="322" fillId="0" borderId="188" xfId="0" applyFont="1" applyBorder="1" applyAlignment="1">
      <alignment horizontal="center" vertical="center"/>
    </xf>
    <xf numFmtId="0" fontId="108" fillId="3" borderId="188" xfId="20951" applyFont="1" applyFill="1" applyBorder="1" applyAlignment="1">
      <alignment horizontal="left" vertical="center" wrapText="1"/>
    </xf>
    <xf numFmtId="0" fontId="323" fillId="3" borderId="188" xfId="0" applyFont="1" applyFill="1" applyBorder="1" applyAlignment="1">
      <alignment horizontal="left" vertical="center" wrapText="1"/>
    </xf>
    <xf numFmtId="0" fontId="108" fillId="0" borderId="188" xfId="0" applyFont="1" applyBorder="1" applyAlignment="1">
      <alignment horizontal="left" vertical="center" wrapText="1"/>
    </xf>
    <xf numFmtId="0" fontId="323" fillId="0" borderId="188" xfId="0" applyFont="1" applyBorder="1" applyAlignment="1">
      <alignment horizontal="left" vertical="center" wrapText="1"/>
    </xf>
    <xf numFmtId="0" fontId="323" fillId="0" borderId="188" xfId="0" applyFont="1" applyBorder="1" applyAlignment="1">
      <alignment vertical="center" wrapText="1"/>
    </xf>
    <xf numFmtId="0" fontId="323" fillId="0" borderId="188" xfId="20951" applyFont="1" applyBorder="1" applyAlignment="1">
      <alignment horizontal="left" vertical="center" wrapText="1"/>
    </xf>
    <xf numFmtId="0" fontId="323" fillId="3" borderId="188" xfId="20951"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12" xfId="0" applyFont="1" applyBorder="1" applyAlignment="1">
      <alignment vertical="center"/>
    </xf>
    <xf numFmtId="0" fontId="2" fillId="0" borderId="8" xfId="0" applyFont="1" applyBorder="1" applyAlignment="1">
      <alignment vertical="center" wrapText="1"/>
    </xf>
    <xf numFmtId="0" fontId="84" fillId="0" borderId="17" xfId="0" applyFont="1" applyBorder="1" applyAlignment="1">
      <alignment vertical="center"/>
    </xf>
    <xf numFmtId="0" fontId="84" fillId="0" borderId="16" xfId="0" applyFont="1" applyBorder="1" applyAlignment="1">
      <alignment vertical="center"/>
    </xf>
    <xf numFmtId="0" fontId="2" fillId="0" borderId="17" xfId="0" applyFont="1" applyBorder="1" applyAlignment="1">
      <alignment vertical="center"/>
    </xf>
    <xf numFmtId="0" fontId="2" fillId="0" borderId="17" xfId="0" applyFont="1" applyBorder="1" applyAlignment="1">
      <alignment vertical="center" wrapText="1"/>
    </xf>
    <xf numFmtId="165" fontId="84" fillId="0" borderId="17" xfId="20948" applyNumberFormat="1" applyFont="1" applyBorder="1" applyAlignment="1">
      <alignment horizontal="left" vertical="center"/>
    </xf>
    <xf numFmtId="0" fontId="2" fillId="0" borderId="18" xfId="0" applyFont="1" applyBorder="1" applyAlignment="1">
      <alignment vertical="center"/>
    </xf>
    <xf numFmtId="0" fontId="2" fillId="0" borderId="21" xfId="0" applyFont="1" applyBorder="1" applyAlignment="1">
      <alignment vertical="center" wrapText="1"/>
    </xf>
    <xf numFmtId="0" fontId="84" fillId="0" borderId="34" xfId="0" applyFont="1" applyBorder="1" applyAlignment="1">
      <alignment vertical="center"/>
    </xf>
    <xf numFmtId="0" fontId="110" fillId="3" borderId="188" xfId="20951" applyFont="1" applyFill="1" applyBorder="1" applyAlignment="1">
      <alignment horizontal="left" vertical="center" wrapText="1"/>
    </xf>
    <xf numFmtId="0" fontId="111" fillId="0" borderId="188" xfId="20951" applyFont="1" applyBorder="1" applyAlignment="1">
      <alignment horizontal="left" vertical="center" wrapText="1" indent="1"/>
    </xf>
    <xf numFmtId="0" fontId="112" fillId="3" borderId="188" xfId="0" applyFont="1" applyFill="1" applyBorder="1" applyAlignment="1">
      <alignment horizontal="left" vertical="center" wrapText="1"/>
    </xf>
    <xf numFmtId="0" fontId="111" fillId="3" borderId="188" xfId="20951" applyFont="1" applyFill="1" applyBorder="1" applyAlignment="1">
      <alignment horizontal="left" vertical="center" wrapText="1" indent="1"/>
    </xf>
    <xf numFmtId="0" fontId="110" fillId="0" borderId="188" xfId="0" applyFont="1" applyBorder="1" applyAlignment="1">
      <alignment horizontal="left" vertical="center" wrapText="1"/>
    </xf>
    <xf numFmtId="0" fontId="113" fillId="3" borderId="188" xfId="0" applyFont="1" applyFill="1" applyBorder="1" applyAlignment="1">
      <alignment horizontal="left" vertical="center" wrapText="1" indent="1"/>
    </xf>
    <xf numFmtId="0" fontId="113" fillId="0" borderId="188" xfId="20951" applyFont="1" applyBorder="1" applyAlignment="1">
      <alignment horizontal="left" vertical="center" wrapText="1" indent="1"/>
    </xf>
    <xf numFmtId="0" fontId="114" fillId="0" borderId="188" xfId="20951" applyFont="1" applyBorder="1" applyAlignment="1">
      <alignment horizontal="center" vertical="center" wrapText="1"/>
    </xf>
    <xf numFmtId="0" fontId="111" fillId="3" borderId="188" xfId="0" applyFont="1" applyFill="1" applyBorder="1" applyAlignment="1">
      <alignment horizontal="left" vertical="center" wrapText="1" indent="1"/>
    </xf>
    <xf numFmtId="0" fontId="112" fillId="0" borderId="188" xfId="20951" applyFont="1" applyBorder="1" applyAlignment="1">
      <alignment horizontal="left" vertical="center" wrapText="1"/>
    </xf>
    <xf numFmtId="0" fontId="112" fillId="3" borderId="188" xfId="20951" applyFont="1" applyFill="1" applyBorder="1" applyAlignment="1">
      <alignment horizontal="left" vertical="center" wrapText="1"/>
    </xf>
    <xf numFmtId="0" fontId="115" fillId="0" borderId="188" xfId="0" applyFont="1" applyBorder="1" applyAlignment="1">
      <alignment horizontal="justify"/>
    </xf>
    <xf numFmtId="167" fontId="321" fillId="0" borderId="194" xfId="0" applyNumberFormat="1" applyFont="1" applyBorder="1" applyAlignment="1">
      <alignment horizontal="center" vertical="center"/>
    </xf>
    <xf numFmtId="167" fontId="117" fillId="0" borderId="194" xfId="0" applyNumberFormat="1" applyFont="1" applyBorder="1" applyAlignment="1">
      <alignment horizontal="center" vertical="center"/>
    </xf>
    <xf numFmtId="167" fontId="322" fillId="0" borderId="194" xfId="0" applyNumberFormat="1" applyFont="1" applyBorder="1" applyAlignment="1">
      <alignment horizontal="center" vertical="center"/>
    </xf>
    <xf numFmtId="167" fontId="321" fillId="0" borderId="193" xfId="0" applyNumberFormat="1" applyFont="1" applyBorder="1" applyAlignment="1">
      <alignment horizontal="center" vertical="center"/>
    </xf>
    <xf numFmtId="0" fontId="321" fillId="0" borderId="194" xfId="0" applyFont="1" applyBorder="1" applyAlignment="1">
      <alignment vertical="center"/>
    </xf>
    <xf numFmtId="0" fontId="321" fillId="0" borderId="193" xfId="0" applyFont="1" applyBorder="1" applyAlignment="1">
      <alignment vertical="center"/>
    </xf>
    <xf numFmtId="0" fontId="45" fillId="0" borderId="0" xfId="0" applyFont="1" applyAlignment="1">
      <alignment horizontal="left"/>
    </xf>
    <xf numFmtId="14" fontId="45" fillId="0" borderId="0" xfId="0" applyNumberFormat="1" applyFont="1" applyAlignment="1">
      <alignment horizontal="left"/>
    </xf>
    <xf numFmtId="0" fontId="108" fillId="0" borderId="0" xfId="10" applyFont="1"/>
    <xf numFmtId="0" fontId="108" fillId="0" borderId="0" xfId="0" applyFont="1" applyAlignment="1">
      <alignment horizontal="left"/>
    </xf>
    <xf numFmtId="14" fontId="108" fillId="0" borderId="0" xfId="0" applyNumberFormat="1" applyFont="1" applyAlignment="1">
      <alignment horizontal="left"/>
    </xf>
    <xf numFmtId="0" fontId="45" fillId="0" borderId="0" xfId="10" applyFont="1" applyAlignment="1">
      <alignment vertical="center"/>
    </xf>
    <xf numFmtId="0" fontId="45" fillId="0" borderId="0" xfId="0" applyFont="1" applyAlignment="1">
      <alignment horizontal="left" vertical="center"/>
    </xf>
    <xf numFmtId="14" fontId="45" fillId="0" borderId="0" xfId="0" applyNumberFormat="1" applyFont="1" applyAlignment="1">
      <alignment horizontal="left" vertical="center"/>
    </xf>
    <xf numFmtId="0" fontId="86" fillId="0" borderId="0" xfId="0" applyFont="1" applyAlignment="1">
      <alignment vertical="top" wrapText="1"/>
    </xf>
    <xf numFmtId="0" fontId="86" fillId="0" borderId="0" xfId="0" applyFont="1" applyAlignment="1">
      <alignment vertical="center" wrapText="1"/>
    </xf>
    <xf numFmtId="0" fontId="86" fillId="0" borderId="0" xfId="0" applyFont="1" applyAlignment="1">
      <alignment vertical="top"/>
    </xf>
    <xf numFmtId="0" fontId="86" fillId="0" borderId="0" xfId="0" applyFont="1"/>
    <xf numFmtId="0" fontId="86" fillId="0" borderId="0" xfId="0" applyFont="1" applyAlignment="1">
      <alignment horizontal="left"/>
    </xf>
    <xf numFmtId="0" fontId="4" fillId="0" borderId="0" xfId="0" applyFont="1" applyAlignment="1">
      <alignment vertical="top" wrapText="1"/>
    </xf>
    <xf numFmtId="0" fontId="4" fillId="0" borderId="0" xfId="0" applyFont="1"/>
    <xf numFmtId="0" fontId="95" fillId="0" borderId="0" xfId="0" applyFont="1" applyAlignment="1">
      <alignment horizontal="left"/>
    </xf>
    <xf numFmtId="14" fontId="95" fillId="0" borderId="0" xfId="0" applyNumberFormat="1" applyFont="1" applyAlignment="1">
      <alignment horizontal="left"/>
    </xf>
    <xf numFmtId="14" fontId="86" fillId="0" borderId="0" xfId="0" applyNumberFormat="1" applyFont="1" applyAlignment="1">
      <alignment horizontal="left"/>
    </xf>
    <xf numFmtId="0" fontId="45" fillId="0" borderId="0" xfId="0" applyFont="1" applyAlignment="1">
      <alignment horizontal="left" vertical="top"/>
    </xf>
    <xf numFmtId="0" fontId="103" fillId="0" borderId="0" xfId="10" applyFont="1"/>
    <xf numFmtId="43" fontId="45" fillId="0" borderId="0" xfId="6" applyFont="1" applyAlignment="1">
      <alignment horizontal="left"/>
    </xf>
    <xf numFmtId="14" fontId="334" fillId="0" borderId="0" xfId="0" applyNumberFormat="1" applyFont="1" applyAlignment="1">
      <alignment horizontal="left"/>
    </xf>
    <xf numFmtId="0" fontId="45" fillId="0" borderId="0" xfId="6" applyNumberFormat="1" applyFont="1" applyAlignment="1">
      <alignment horizontal="left"/>
    </xf>
    <xf numFmtId="0" fontId="86" fillId="0" borderId="0" xfId="0" applyFont="1" applyAlignment="1">
      <alignment horizontal="left" vertical="top" wrapText="1"/>
    </xf>
    <xf numFmtId="0" fontId="103" fillId="0" borderId="0" xfId="10" applyFont="1" applyAlignment="1">
      <alignment horizontal="left"/>
    </xf>
    <xf numFmtId="164" fontId="332" fillId="0" borderId="109" xfId="6" applyNumberFormat="1" applyFont="1" applyBorder="1"/>
    <xf numFmtId="164" fontId="334" fillId="0" borderId="109" xfId="6" applyNumberFormat="1" applyFont="1" applyBorder="1"/>
    <xf numFmtId="10" fontId="2" fillId="0" borderId="85" xfId="20948" applyNumberFormat="1" applyFont="1" applyFill="1" applyBorder="1" applyAlignment="1" applyProtection="1">
      <alignment horizontal="right" vertical="center"/>
      <protection locked="0"/>
    </xf>
    <xf numFmtId="0" fontId="340" fillId="0" borderId="0" xfId="0" applyFont="1"/>
    <xf numFmtId="10" fontId="4" fillId="0" borderId="191" xfId="20948" applyNumberFormat="1" applyFont="1" applyBorder="1" applyAlignment="1">
      <alignment vertical="center"/>
    </xf>
    <xf numFmtId="10" fontId="4" fillId="0" borderId="192" xfId="20948" applyNumberFormat="1" applyFont="1" applyBorder="1" applyAlignment="1">
      <alignment vertical="center"/>
    </xf>
    <xf numFmtId="164" fontId="4" fillId="35" borderId="19" xfId="6" applyNumberFormat="1" applyFont="1" applyFill="1" applyBorder="1"/>
    <xf numFmtId="9" fontId="4" fillId="35" borderId="20" xfId="20948" applyFont="1" applyFill="1" applyBorder="1"/>
    <xf numFmtId="0" fontId="45" fillId="3" borderId="18" xfId="8" applyFont="1" applyFill="1" applyBorder="1" applyAlignment="1" applyProtection="1">
      <alignment horizontal="left" vertical="center"/>
      <protection locked="0"/>
    </xf>
    <xf numFmtId="164" fontId="86" fillId="35" borderId="19" xfId="6" applyNumberFormat="1" applyFont="1" applyFill="1" applyBorder="1"/>
    <xf numFmtId="0" fontId="341" fillId="0" borderId="109" xfId="0" applyFont="1" applyBorder="1" applyAlignment="1">
      <alignment horizontal="center"/>
    </xf>
    <xf numFmtId="167" fontId="342" fillId="79" borderId="194" xfId="0" applyNumberFormat="1" applyFont="1" applyFill="1" applyBorder="1" applyAlignment="1">
      <alignment horizontal="center" vertical="center"/>
    </xf>
    <xf numFmtId="0" fontId="90" fillId="0" borderId="0" xfId="0" applyFont="1"/>
    <xf numFmtId="0" fontId="322" fillId="0" borderId="194" xfId="0" applyFont="1" applyBorder="1" applyAlignment="1">
      <alignment vertical="center"/>
    </xf>
    <xf numFmtId="0" fontId="341" fillId="0" borderId="100" xfId="0" applyFont="1" applyBorder="1" applyAlignment="1">
      <alignment horizontal="center"/>
    </xf>
    <xf numFmtId="167" fontId="343" fillId="0" borderId="194" xfId="0" applyNumberFormat="1" applyFont="1" applyBorder="1" applyAlignment="1">
      <alignment horizontal="center" vertical="center"/>
    </xf>
    <xf numFmtId="167" fontId="342" fillId="0" borderId="194" xfId="0" applyNumberFormat="1" applyFont="1" applyBorder="1" applyAlignment="1">
      <alignment horizontal="center" vertical="center"/>
    </xf>
    <xf numFmtId="167" fontId="344" fillId="0" borderId="0" xfId="0" applyNumberFormat="1" applyFont="1" applyAlignment="1">
      <alignment horizontal="center"/>
    </xf>
    <xf numFmtId="167" fontId="322" fillId="0" borderId="54" xfId="0" applyNumberFormat="1" applyFont="1" applyBorder="1" applyAlignment="1">
      <alignment horizontal="center" vertical="center"/>
    </xf>
    <xf numFmtId="0" fontId="45" fillId="0" borderId="15" xfId="8" applyFont="1" applyBorder="1" applyAlignment="1" applyProtection="1">
      <alignment horizontal="center" vertical="center"/>
      <protection locked="0"/>
    </xf>
    <xf numFmtId="0" fontId="86" fillId="0" borderId="0" xfId="0" applyFont="1" applyAlignment="1">
      <alignment wrapText="1"/>
    </xf>
    <xf numFmtId="0" fontId="45" fillId="0" borderId="15" xfId="8" applyFont="1" applyBorder="1" applyAlignment="1" applyProtection="1">
      <alignment horizontal="center" vertical="center" wrapText="1"/>
      <protection locked="0"/>
    </xf>
    <xf numFmtId="0" fontId="0" fillId="0" borderId="188" xfId="0" applyBorder="1" applyAlignment="1">
      <alignment horizontal="center"/>
    </xf>
    <xf numFmtId="0" fontId="84" fillId="0" borderId="188" xfId="0" applyFont="1" applyBorder="1"/>
    <xf numFmtId="191" fontId="86" fillId="35" borderId="188" xfId="0" applyNumberFormat="1" applyFont="1" applyFill="1" applyBorder="1" applyAlignment="1">
      <alignment horizontal="left" vertical="center" wrapText="1"/>
    </xf>
    <xf numFmtId="164" fontId="86" fillId="35" borderId="188" xfId="6" applyNumberFormat="1" applyFont="1" applyFill="1" applyBorder="1" applyAlignment="1">
      <alignment horizontal="center" vertical="center"/>
    </xf>
    <xf numFmtId="164" fontId="2" fillId="0" borderId="109" xfId="6" applyNumberFormat="1" applyFont="1" applyBorder="1" applyAlignment="1">
      <alignment horizontal="right"/>
    </xf>
    <xf numFmtId="164" fontId="2" fillId="35" borderId="109" xfId="6" applyNumberFormat="1" applyFont="1" applyFill="1" applyBorder="1" applyAlignment="1">
      <alignment horizontal="right"/>
    </xf>
    <xf numFmtId="164" fontId="2" fillId="35" borderId="71" xfId="6" applyNumberFormat="1" applyFont="1" applyFill="1" applyBorder="1" applyAlignment="1">
      <alignment horizontal="right"/>
    </xf>
    <xf numFmtId="164" fontId="94" fillId="0" borderId="175" xfId="6" applyNumberFormat="1" applyFont="1" applyBorder="1" applyAlignment="1">
      <alignment horizontal="right"/>
    </xf>
    <xf numFmtId="164" fontId="94" fillId="35" borderId="175" xfId="6" applyNumberFormat="1" applyFont="1" applyFill="1" applyBorder="1" applyAlignment="1">
      <alignment horizontal="right"/>
    </xf>
    <xf numFmtId="0" fontId="108" fillId="0" borderId="0" xfId="10" applyFont="1" applyAlignment="1">
      <alignment vertical="center"/>
    </xf>
    <xf numFmtId="0" fontId="108" fillId="0" borderId="0" xfId="0" applyFont="1" applyAlignment="1">
      <alignment horizontal="left" vertical="center"/>
    </xf>
    <xf numFmtId="0" fontId="94" fillId="0" borderId="0" xfId="0" applyFont="1" applyAlignment="1">
      <alignment vertical="center"/>
    </xf>
    <xf numFmtId="0" fontId="321" fillId="0" borderId="0" xfId="0" applyFont="1" applyAlignment="1">
      <alignment vertical="center"/>
    </xf>
    <xf numFmtId="14" fontId="108" fillId="0" borderId="0" xfId="0" applyNumberFormat="1" applyFont="1" applyAlignment="1">
      <alignment horizontal="left" vertical="center"/>
    </xf>
    <xf numFmtId="0" fontId="94" fillId="0" borderId="0" xfId="10" applyFont="1" applyAlignment="1">
      <alignment vertical="center"/>
    </xf>
    <xf numFmtId="0" fontId="94" fillId="0" borderId="188" xfId="20951" applyFont="1" applyBorder="1" applyAlignment="1">
      <alignment horizontal="left" vertical="center" wrapText="1"/>
    </xf>
    <xf numFmtId="0" fontId="94" fillId="3" borderId="188" xfId="20951" applyFont="1" applyFill="1" applyBorder="1" applyAlignment="1">
      <alignment horizontal="left" vertical="center" wrapText="1"/>
    </xf>
    <xf numFmtId="0" fontId="324" fillId="0" borderId="188" xfId="0" applyFont="1" applyBorder="1" applyAlignment="1">
      <alignment horizontal="left" vertical="center" wrapText="1"/>
    </xf>
    <xf numFmtId="0" fontId="324" fillId="3" borderId="188" xfId="0" applyFont="1" applyFill="1" applyBorder="1" applyAlignment="1">
      <alignment horizontal="left" vertical="center" wrapText="1"/>
    </xf>
    <xf numFmtId="0" fontId="324" fillId="0" borderId="188" xfId="20951" applyFont="1" applyBorder="1" applyAlignment="1">
      <alignment horizontal="left" vertical="center" wrapText="1"/>
    </xf>
    <xf numFmtId="164" fontId="321" fillId="0" borderId="109" xfId="6" applyNumberFormat="1" applyFont="1" applyBorder="1" applyAlignment="1">
      <alignment vertical="center"/>
    </xf>
    <xf numFmtId="164" fontId="321" fillId="35" borderId="109" xfId="6" applyNumberFormat="1" applyFont="1" applyFill="1" applyBorder="1" applyAlignment="1">
      <alignment vertical="center"/>
    </xf>
    <xf numFmtId="0" fontId="321" fillId="0" borderId="109" xfId="0" applyFont="1" applyBorder="1" applyAlignment="1">
      <alignment horizontal="center" vertical="center"/>
    </xf>
    <xf numFmtId="0" fontId="94" fillId="3" borderId="188" xfId="0" applyFont="1" applyFill="1" applyBorder="1" applyAlignment="1">
      <alignment horizontal="left" vertical="center" wrapText="1"/>
    </xf>
    <xf numFmtId="0" fontId="94" fillId="0" borderId="188" xfId="0" applyFont="1" applyBorder="1" applyAlignment="1">
      <alignment horizontal="left" vertical="center" wrapText="1"/>
    </xf>
    <xf numFmtId="0" fontId="325" fillId="0" borderId="188" xfId="0" applyFont="1" applyBorder="1" applyAlignment="1">
      <alignment horizontal="justify" vertical="center"/>
    </xf>
    <xf numFmtId="0" fontId="321" fillId="0" borderId="0" xfId="0" applyFont="1" applyAlignment="1">
      <alignment horizontal="center" vertical="center"/>
    </xf>
    <xf numFmtId="0" fontId="2" fillId="0" borderId="195" xfId="0" applyFont="1" applyBorder="1" applyAlignment="1">
      <alignment vertical="center"/>
    </xf>
    <xf numFmtId="0" fontId="2" fillId="0" borderId="196" xfId="0" applyFont="1" applyBorder="1" applyAlignment="1">
      <alignment vertical="center" wrapText="1"/>
    </xf>
    <xf numFmtId="10" fontId="84" fillId="0" borderId="17" xfId="20948" applyNumberFormat="1" applyFont="1" applyBorder="1" applyAlignment="1">
      <alignment horizontal="left" vertical="center"/>
    </xf>
    <xf numFmtId="164" fontId="45" fillId="0" borderId="188" xfId="6" applyNumberFormat="1" applyFont="1" applyBorder="1" applyAlignment="1">
      <alignment horizontal="center" vertical="center"/>
    </xf>
    <xf numFmtId="164" fontId="45" fillId="0" borderId="188" xfId="6" applyNumberFormat="1" applyFont="1" applyBorder="1" applyAlignment="1"/>
    <xf numFmtId="164" fontId="45" fillId="0" borderId="188" xfId="0" applyNumberFormat="1" applyFont="1" applyBorder="1" applyAlignment="1">
      <alignment horizontal="left" vertical="center"/>
    </xf>
    <xf numFmtId="0" fontId="45" fillId="0" borderId="188" xfId="0" applyFont="1" applyBorder="1" applyAlignment="1">
      <alignment horizontal="left" vertical="center" wrapText="1"/>
    </xf>
    <xf numFmtId="0" fontId="2" fillId="0" borderId="188" xfId="0" applyFont="1" applyBorder="1"/>
    <xf numFmtId="0" fontId="2" fillId="0" borderId="188" xfId="0" applyFont="1" applyBorder="1" applyAlignment="1">
      <alignment horizontal="left" vertical="center" wrapText="1"/>
    </xf>
    <xf numFmtId="0" fontId="2" fillId="0" borderId="182" xfId="0" applyFont="1" applyBorder="1" applyAlignment="1">
      <alignment horizontal="center" vertical="center" wrapText="1"/>
    </xf>
    <xf numFmtId="0" fontId="45" fillId="0" borderId="179" xfId="0" applyFont="1" applyBorder="1" applyAlignment="1">
      <alignment horizontal="left" vertical="center" wrapText="1"/>
    </xf>
    <xf numFmtId="169" fontId="2" fillId="36" borderId="0" xfId="20948" applyNumberFormat="1" applyFont="1" applyFill="1"/>
    <xf numFmtId="10" fontId="2" fillId="2" borderId="3" xfId="0" applyNumberFormat="1" applyFont="1" applyFill="1" applyBorder="1" applyAlignment="1" applyProtection="1">
      <alignment vertical="center"/>
      <protection locked="0"/>
    </xf>
    <xf numFmtId="10" fontId="84" fillId="0" borderId="3" xfId="0" applyNumberFormat="1" applyFont="1" applyBorder="1" applyAlignment="1" applyProtection="1">
      <alignment horizontal="center" vertical="center" wrapText="1"/>
      <protection locked="0"/>
    </xf>
    <xf numFmtId="10" fontId="87" fillId="2" borderId="83" xfId="0" applyNumberFormat="1" applyFont="1" applyFill="1" applyBorder="1" applyAlignment="1" applyProtection="1">
      <alignment vertical="center"/>
      <protection locked="0"/>
    </xf>
    <xf numFmtId="169" fontId="2" fillId="2" borderId="83" xfId="0" applyNumberFormat="1" applyFont="1" applyFill="1" applyBorder="1" applyAlignment="1" applyProtection="1">
      <alignment vertical="center"/>
      <protection locked="0"/>
    </xf>
    <xf numFmtId="169" fontId="87" fillId="2" borderId="83" xfId="0" applyNumberFormat="1" applyFont="1" applyFill="1" applyBorder="1" applyAlignment="1" applyProtection="1">
      <alignment vertical="center"/>
      <protection locked="0"/>
    </xf>
    <xf numFmtId="164" fontId="2" fillId="2" borderId="83" xfId="0" applyNumberFormat="1" applyFont="1" applyFill="1" applyBorder="1" applyAlignment="1" applyProtection="1">
      <alignment vertical="center"/>
      <protection locked="0"/>
    </xf>
    <xf numFmtId="10" fontId="87" fillId="2" borderId="19" xfId="0" applyNumberFormat="1" applyFont="1" applyFill="1" applyBorder="1" applyAlignment="1" applyProtection="1">
      <alignment vertical="center"/>
      <protection locked="0"/>
    </xf>
    <xf numFmtId="164" fontId="321" fillId="0" borderId="188" xfId="6" applyNumberFormat="1" applyFont="1" applyFill="1" applyBorder="1" applyAlignment="1">
      <alignment vertical="center"/>
    </xf>
    <xf numFmtId="164" fontId="321" fillId="0" borderId="188" xfId="6" applyNumberFormat="1" applyFont="1" applyBorder="1" applyAlignment="1">
      <alignment vertical="center"/>
    </xf>
    <xf numFmtId="164" fontId="94" fillId="0" borderId="188" xfId="6" applyNumberFormat="1" applyFont="1" applyFill="1" applyBorder="1" applyAlignment="1">
      <alignment horizontal="right" vertical="center"/>
    </xf>
    <xf numFmtId="164" fontId="321" fillId="35" borderId="188" xfId="6" applyNumberFormat="1" applyFont="1" applyFill="1" applyBorder="1" applyAlignment="1">
      <alignment vertical="center" wrapText="1"/>
    </xf>
    <xf numFmtId="164" fontId="321" fillId="35" borderId="193" xfId="6" applyNumberFormat="1" applyFont="1" applyFill="1" applyBorder="1" applyAlignment="1">
      <alignment vertical="center" wrapText="1"/>
    </xf>
    <xf numFmtId="164" fontId="321" fillId="0" borderId="188" xfId="6" applyNumberFormat="1" applyFont="1" applyBorder="1" applyAlignment="1">
      <alignment vertical="center" wrapText="1"/>
    </xf>
    <xf numFmtId="164" fontId="321" fillId="0" borderId="196" xfId="6" applyNumberFormat="1" applyFont="1" applyBorder="1" applyAlignment="1">
      <alignment vertical="center" wrapText="1"/>
    </xf>
    <xf numFmtId="164" fontId="321" fillId="0" borderId="188" xfId="6" applyNumberFormat="1" applyFont="1" applyFill="1" applyBorder="1" applyAlignment="1">
      <alignment vertical="center" wrapText="1"/>
    </xf>
    <xf numFmtId="164" fontId="321" fillId="0" borderId="193" xfId="6" applyNumberFormat="1" applyFont="1" applyBorder="1" applyAlignment="1">
      <alignment vertical="center" wrapText="1"/>
    </xf>
    <xf numFmtId="164" fontId="321" fillId="35" borderId="197" xfId="6" applyNumberFormat="1" applyFont="1" applyFill="1" applyBorder="1" applyAlignment="1">
      <alignment vertical="center" wrapText="1"/>
    </xf>
    <xf numFmtId="164" fontId="321" fillId="35" borderId="198" xfId="6" applyNumberFormat="1" applyFont="1" applyFill="1" applyBorder="1" applyAlignment="1">
      <alignment vertical="center" wrapText="1"/>
    </xf>
    <xf numFmtId="164" fontId="321" fillId="0" borderId="194" xfId="6" applyNumberFormat="1" applyFont="1" applyFill="1" applyBorder="1" applyAlignment="1">
      <alignment vertical="center"/>
    </xf>
    <xf numFmtId="164" fontId="321" fillId="0" borderId="194" xfId="6" applyNumberFormat="1" applyFont="1" applyBorder="1" applyAlignment="1">
      <alignment vertical="center" wrapText="1"/>
    </xf>
    <xf numFmtId="164" fontId="321" fillId="35" borderId="194" xfId="6" applyNumberFormat="1" applyFont="1" applyFill="1" applyBorder="1" applyAlignment="1">
      <alignment horizontal="center" vertical="center" wrapText="1"/>
    </xf>
    <xf numFmtId="164" fontId="321" fillId="0" borderId="194" xfId="6" applyNumberFormat="1" applyFont="1" applyBorder="1" applyAlignment="1">
      <alignment vertical="center"/>
    </xf>
    <xf numFmtId="164" fontId="321" fillId="0" borderId="194" xfId="6" applyNumberFormat="1" applyFont="1" applyFill="1" applyBorder="1" applyAlignment="1">
      <alignment vertical="center" wrapText="1"/>
    </xf>
    <xf numFmtId="164" fontId="322" fillId="35" borderId="199" xfId="6" applyNumberFormat="1" applyFont="1" applyFill="1" applyBorder="1" applyAlignment="1">
      <alignment horizontal="center" vertical="center" wrapText="1"/>
    </xf>
    <xf numFmtId="164" fontId="108" fillId="35" borderId="194" xfId="6" applyNumberFormat="1" applyFont="1" applyFill="1" applyBorder="1" applyAlignment="1" applyProtection="1">
      <alignment vertical="center"/>
    </xf>
    <xf numFmtId="164" fontId="94" fillId="3" borderId="194" xfId="6" applyNumberFormat="1" applyFont="1" applyFill="1" applyBorder="1" applyAlignment="1" applyProtection="1">
      <alignment vertical="center"/>
      <protection locked="0"/>
    </xf>
    <xf numFmtId="164" fontId="108" fillId="35" borderId="194" xfId="6" applyNumberFormat="1" applyFont="1" applyFill="1" applyBorder="1" applyAlignment="1" applyProtection="1">
      <alignment vertical="center" wrapText="1"/>
    </xf>
    <xf numFmtId="1" fontId="4" fillId="35" borderId="71" xfId="0" applyNumberFormat="1" applyFont="1" applyFill="1" applyBorder="1" applyAlignment="1">
      <alignment horizontal="center" vertical="center" wrapText="1"/>
    </xf>
    <xf numFmtId="164" fontId="322" fillId="0" borderId="7" xfId="6" applyNumberFormat="1" applyFont="1" applyBorder="1" applyAlignment="1">
      <alignment horizontal="center" vertical="center"/>
    </xf>
    <xf numFmtId="164" fontId="321" fillId="0" borderId="188" xfId="6" applyNumberFormat="1" applyFont="1" applyBorder="1" applyAlignment="1">
      <alignment horizontal="center" vertical="center"/>
    </xf>
    <xf numFmtId="164" fontId="322" fillId="0" borderId="188" xfId="6" applyNumberFormat="1" applyFont="1" applyBorder="1" applyAlignment="1">
      <alignment horizontal="center" vertical="center"/>
    </xf>
    <xf numFmtId="164" fontId="321" fillId="0" borderId="177" xfId="6" applyNumberFormat="1" applyFont="1" applyBorder="1" applyAlignment="1">
      <alignment vertical="center"/>
    </xf>
    <xf numFmtId="164" fontId="322" fillId="0" borderId="197" xfId="6" applyNumberFormat="1" applyFont="1" applyBorder="1" applyAlignment="1">
      <alignment horizontal="center" vertical="center"/>
    </xf>
    <xf numFmtId="0" fontId="321" fillId="0" borderId="199" xfId="0" applyFont="1" applyBorder="1" applyAlignment="1">
      <alignment vertical="center"/>
    </xf>
    <xf numFmtId="169" fontId="94" fillId="36" borderId="0" xfId="18" applyFont="1"/>
    <xf numFmtId="164" fontId="321" fillId="0" borderId="196" xfId="6" applyNumberFormat="1" applyFont="1" applyBorder="1" applyAlignment="1">
      <alignment vertical="center"/>
    </xf>
    <xf numFmtId="164" fontId="322" fillId="0" borderId="196" xfId="6" applyNumberFormat="1" applyFont="1" applyBorder="1" applyAlignment="1">
      <alignment vertical="center"/>
    </xf>
    <xf numFmtId="164" fontId="322" fillId="0" borderId="194" xfId="6" applyNumberFormat="1" applyFont="1" applyBorder="1" applyAlignment="1">
      <alignment vertical="center"/>
    </xf>
    <xf numFmtId="0" fontId="321" fillId="3" borderId="177" xfId="0" applyFont="1" applyFill="1" applyBorder="1" applyAlignment="1">
      <alignment vertical="center"/>
    </xf>
    <xf numFmtId="0" fontId="321" fillId="3" borderId="193" xfId="0" applyFont="1" applyFill="1" applyBorder="1" applyAlignment="1">
      <alignment vertical="center"/>
    </xf>
    <xf numFmtId="164" fontId="322" fillId="0" borderId="188" xfId="6" applyNumberFormat="1" applyFont="1" applyBorder="1" applyAlignment="1">
      <alignment vertical="center"/>
    </xf>
    <xf numFmtId="164" fontId="321" fillId="3" borderId="177" xfId="6" applyNumberFormat="1" applyFont="1" applyFill="1" applyBorder="1" applyAlignment="1">
      <alignment vertical="center"/>
    </xf>
    <xf numFmtId="164" fontId="321" fillId="3" borderId="193" xfId="6" applyNumberFormat="1" applyFont="1" applyFill="1" applyBorder="1" applyAlignment="1">
      <alignment vertical="center"/>
    </xf>
    <xf numFmtId="164" fontId="94" fillId="0" borderId="188" xfId="946" applyNumberFormat="1" applyFont="1" applyFill="1" applyBorder="1" applyAlignment="1" applyProtection="1">
      <alignment horizontal="right" vertical="center"/>
      <protection locked="0"/>
    </xf>
    <xf numFmtId="164" fontId="94" fillId="76" borderId="188" xfId="946" applyNumberFormat="1" applyFont="1" applyFill="1" applyBorder="1" applyAlignment="1" applyProtection="1">
      <alignment horizontal="right" vertical="center"/>
    </xf>
    <xf numFmtId="164" fontId="108" fillId="75" borderId="176" xfId="946" applyNumberFormat="1" applyFont="1" applyFill="1" applyBorder="1" applyAlignment="1" applyProtection="1">
      <alignment horizontal="right" vertical="center"/>
      <protection locked="0"/>
    </xf>
    <xf numFmtId="164" fontId="345" fillId="0" borderId="188" xfId="6" applyNumberFormat="1" applyFont="1" applyBorder="1" applyAlignment="1">
      <alignment vertical="center"/>
    </xf>
    <xf numFmtId="164" fontId="345" fillId="0" borderId="188" xfId="6" applyNumberFormat="1" applyFont="1" applyFill="1" applyBorder="1" applyAlignment="1">
      <alignment vertical="center"/>
    </xf>
    <xf numFmtId="164" fontId="346" fillId="0" borderId="188" xfId="6" applyNumberFormat="1" applyFont="1" applyBorder="1" applyAlignment="1">
      <alignment vertical="center"/>
    </xf>
    <xf numFmtId="164" fontId="106" fillId="0" borderId="188" xfId="6" applyNumberFormat="1" applyFont="1" applyBorder="1"/>
    <xf numFmtId="164" fontId="105" fillId="0" borderId="188" xfId="6" applyNumberFormat="1" applyFont="1" applyFill="1" applyBorder="1"/>
    <xf numFmtId="164" fontId="346" fillId="0" borderId="188" xfId="6" applyNumberFormat="1" applyFont="1" applyBorder="1"/>
    <xf numFmtId="164" fontId="345" fillId="0" borderId="188" xfId="6" applyNumberFormat="1" applyFont="1" applyBorder="1"/>
    <xf numFmtId="164" fontId="345" fillId="0" borderId="188" xfId="6" applyNumberFormat="1" applyFont="1" applyFill="1" applyBorder="1"/>
    <xf numFmtId="164" fontId="108" fillId="0" borderId="57" xfId="6" applyNumberFormat="1" applyFont="1" applyFill="1" applyBorder="1" applyAlignment="1">
      <alignment vertical="center"/>
    </xf>
    <xf numFmtId="164" fontId="94" fillId="0" borderId="188" xfId="6" applyNumberFormat="1" applyFont="1" applyFill="1" applyBorder="1" applyAlignment="1">
      <alignment vertical="center"/>
    </xf>
    <xf numFmtId="164" fontId="94" fillId="0" borderId="188" xfId="6" applyNumberFormat="1" applyFont="1" applyBorder="1" applyAlignment="1">
      <alignment vertical="center"/>
    </xf>
    <xf numFmtId="164" fontId="94" fillId="0" borderId="194" xfId="6" applyNumberFormat="1" applyFont="1" applyBorder="1" applyAlignment="1">
      <alignment vertical="center"/>
    </xf>
    <xf numFmtId="164" fontId="94" fillId="0" borderId="57" xfId="6" applyNumberFormat="1" applyFont="1" applyFill="1" applyBorder="1" applyAlignment="1">
      <alignment vertical="center"/>
    </xf>
    <xf numFmtId="164" fontId="94" fillId="0" borderId="195" xfId="6" applyNumberFormat="1" applyFont="1" applyFill="1" applyBorder="1" applyAlignment="1">
      <alignment horizontal="left" vertical="center"/>
    </xf>
    <xf numFmtId="164" fontId="94" fillId="0" borderId="195" xfId="6" applyNumberFormat="1" applyFont="1" applyBorder="1" applyAlignment="1">
      <alignment horizontal="left" vertical="center"/>
    </xf>
    <xf numFmtId="164" fontId="94" fillId="78" borderId="195" xfId="6" applyNumberFormat="1" applyFont="1" applyFill="1" applyBorder="1" applyAlignment="1">
      <alignment vertical="center"/>
    </xf>
    <xf numFmtId="164" fontId="94" fillId="78" borderId="188" xfId="6" applyNumberFormat="1" applyFont="1" applyFill="1" applyBorder="1" applyAlignment="1">
      <alignment vertical="center"/>
    </xf>
    <xf numFmtId="164" fontId="94" fillId="78" borderId="194" xfId="6" applyNumberFormat="1" applyFont="1" applyFill="1" applyBorder="1" applyAlignment="1">
      <alignment vertical="center"/>
    </xf>
    <xf numFmtId="164" fontId="94" fillId="0" borderId="195" xfId="6" applyNumberFormat="1" applyFont="1" applyBorder="1" applyAlignment="1">
      <alignment horizontal="left" vertical="center" wrapText="1"/>
    </xf>
    <xf numFmtId="164" fontId="94" fillId="0" borderId="200" xfId="6" applyNumberFormat="1" applyFont="1" applyBorder="1" applyAlignment="1">
      <alignment horizontal="left" vertical="center" wrapText="1"/>
    </xf>
    <xf numFmtId="164" fontId="94" fillId="0" borderId="197" xfId="6" applyNumberFormat="1" applyFont="1" applyBorder="1" applyAlignment="1">
      <alignment vertical="center"/>
    </xf>
    <xf numFmtId="164" fontId="94" fillId="0" borderId="199" xfId="6" applyNumberFormat="1" applyFont="1" applyBorder="1" applyAlignment="1">
      <alignment vertical="center"/>
    </xf>
    <xf numFmtId="164" fontId="345" fillId="0" borderId="188" xfId="0" applyNumberFormat="1" applyFont="1" applyBorder="1" applyAlignment="1">
      <alignment horizontal="left" vertical="center"/>
    </xf>
    <xf numFmtId="164" fontId="345" fillId="0" borderId="188" xfId="6" applyNumberFormat="1" applyFont="1" applyBorder="1" applyAlignment="1"/>
    <xf numFmtId="164" fontId="345" fillId="0" borderId="188" xfId="6" applyNumberFormat="1" applyFont="1" applyBorder="1" applyAlignment="1">
      <alignment horizontal="center" vertical="center"/>
    </xf>
    <xf numFmtId="164" fontId="345" fillId="0" borderId="188" xfId="6" applyNumberFormat="1" applyFont="1" applyFill="1" applyBorder="1" applyAlignment="1"/>
    <xf numFmtId="164" fontId="345" fillId="0" borderId="188" xfId="6" applyNumberFormat="1" applyFont="1" applyFill="1" applyBorder="1" applyAlignment="1">
      <alignment horizontal="center" vertical="center"/>
    </xf>
    <xf numFmtId="164" fontId="347" fillId="0" borderId="188" xfId="6" applyNumberFormat="1" applyFont="1" applyBorder="1" applyAlignment="1">
      <alignment vertical="center"/>
    </xf>
    <xf numFmtId="10" fontId="347" fillId="0" borderId="188" xfId="20948" applyNumberFormat="1" applyFont="1" applyFill="1" applyBorder="1" applyAlignment="1">
      <alignment vertical="center"/>
    </xf>
    <xf numFmtId="1" fontId="347" fillId="0" borderId="188" xfId="6" applyNumberFormat="1" applyFont="1" applyFill="1" applyBorder="1" applyAlignment="1">
      <alignment vertical="center"/>
    </xf>
    <xf numFmtId="164" fontId="347" fillId="0" borderId="188" xfId="6" applyNumberFormat="1" applyFont="1" applyFill="1" applyBorder="1" applyAlignment="1">
      <alignment vertical="center"/>
    </xf>
    <xf numFmtId="164" fontId="347" fillId="0" borderId="182" xfId="6" applyNumberFormat="1" applyFont="1" applyBorder="1" applyAlignment="1">
      <alignment vertical="center"/>
    </xf>
    <xf numFmtId="10" fontId="347" fillId="0" borderId="182" xfId="20948" applyNumberFormat="1" applyFont="1" applyFill="1" applyBorder="1" applyAlignment="1">
      <alignment vertical="center"/>
    </xf>
    <xf numFmtId="164" fontId="348" fillId="0" borderId="188" xfId="6" applyNumberFormat="1" applyFont="1" applyFill="1" applyBorder="1" applyAlignment="1">
      <alignment vertical="center"/>
    </xf>
    <xf numFmtId="10" fontId="348" fillId="0" borderId="188" xfId="20948" applyNumberFormat="1" applyFont="1" applyFill="1" applyBorder="1" applyAlignment="1">
      <alignment vertical="center"/>
    </xf>
    <xf numFmtId="1" fontId="348" fillId="0" borderId="188" xfId="6" applyNumberFormat="1" applyFont="1" applyFill="1" applyBorder="1" applyAlignment="1">
      <alignment vertical="center"/>
    </xf>
    <xf numFmtId="358" fontId="2" fillId="2" borderId="3" xfId="0" applyNumberFormat="1" applyFont="1" applyFill="1" applyBorder="1" applyAlignment="1" applyProtection="1">
      <alignment vertical="center"/>
      <protection locked="0"/>
    </xf>
    <xf numFmtId="164" fontId="2" fillId="2" borderId="3" xfId="0" applyNumberFormat="1" applyFont="1" applyFill="1" applyBorder="1" applyAlignment="1" applyProtection="1">
      <alignment vertical="center"/>
      <protection locked="0"/>
    </xf>
    <xf numFmtId="164" fontId="87" fillId="2" borderId="83" xfId="0" applyNumberFormat="1" applyFont="1" applyFill="1" applyBorder="1" applyAlignment="1" applyProtection="1">
      <alignment vertical="center"/>
      <protection locked="0"/>
    </xf>
    <xf numFmtId="164" fontId="321" fillId="35" borderId="188" xfId="6" applyNumberFormat="1" applyFont="1" applyFill="1" applyBorder="1" applyAlignment="1">
      <alignment vertical="center"/>
    </xf>
    <xf numFmtId="10" fontId="84" fillId="0" borderId="193" xfId="20948" applyNumberFormat="1" applyFont="1" applyBorder="1" applyAlignment="1">
      <alignment horizontal="left" vertical="center"/>
    </xf>
    <xf numFmtId="164" fontId="321" fillId="35" borderId="14" xfId="6" applyNumberFormat="1" applyFont="1" applyFill="1" applyBorder="1" applyAlignment="1">
      <alignment horizontal="center" vertical="center"/>
    </xf>
    <xf numFmtId="164" fontId="94" fillId="0" borderId="194" xfId="6" applyNumberFormat="1" applyFont="1" applyFill="1" applyBorder="1" applyAlignment="1" applyProtection="1">
      <alignment vertical="center"/>
      <protection locked="0"/>
    </xf>
    <xf numFmtId="164" fontId="94" fillId="146" borderId="194" xfId="6" applyNumberFormat="1" applyFont="1" applyFill="1" applyBorder="1" applyAlignment="1" applyProtection="1">
      <alignment vertical="center" wrapText="1"/>
      <protection locked="0"/>
    </xf>
    <xf numFmtId="164" fontId="94" fillId="3" borderId="194" xfId="6" applyNumberFormat="1" applyFont="1" applyFill="1" applyBorder="1" applyAlignment="1" applyProtection="1">
      <alignment vertical="center" wrapText="1"/>
      <protection locked="0"/>
    </xf>
    <xf numFmtId="164" fontId="94" fillId="35" borderId="194" xfId="6" applyNumberFormat="1" applyFont="1" applyFill="1" applyBorder="1" applyAlignment="1" applyProtection="1">
      <alignment vertical="center" wrapText="1"/>
      <protection locked="0"/>
    </xf>
    <xf numFmtId="164" fontId="108" fillId="35" borderId="199" xfId="6" applyNumberFormat="1" applyFont="1" applyFill="1" applyBorder="1" applyAlignment="1" applyProtection="1">
      <alignment vertical="center" wrapText="1"/>
    </xf>
    <xf numFmtId="10" fontId="94" fillId="0" borderId="188" xfId="20948" applyNumberFormat="1" applyFont="1" applyFill="1" applyBorder="1" applyAlignment="1">
      <alignment horizontal="center" vertical="center" wrapText="1"/>
    </xf>
    <xf numFmtId="164" fontId="321" fillId="0" borderId="194" xfId="6" applyNumberFormat="1" applyFont="1" applyBorder="1" applyAlignment="1">
      <alignment horizontal="right" vertical="center" wrapText="1"/>
    </xf>
    <xf numFmtId="10" fontId="321" fillId="0" borderId="188" xfId="20948" applyNumberFormat="1" applyFont="1" applyFill="1" applyBorder="1" applyAlignment="1">
      <alignment horizontal="center" vertical="center" wrapText="1"/>
    </xf>
    <xf numFmtId="10" fontId="322" fillId="35" borderId="188" xfId="0" applyNumberFormat="1" applyFont="1" applyFill="1" applyBorder="1" applyAlignment="1">
      <alignment horizontal="left" vertical="center" wrapText="1"/>
    </xf>
    <xf numFmtId="1" fontId="322" fillId="35" borderId="194" xfId="0" applyNumberFormat="1" applyFont="1" applyFill="1" applyBorder="1" applyAlignment="1">
      <alignment horizontal="right" vertical="center" wrapText="1"/>
    </xf>
    <xf numFmtId="10" fontId="321" fillId="0" borderId="188" xfId="20948" applyNumberFormat="1" applyFont="1" applyFill="1" applyBorder="1" applyAlignment="1">
      <alignment horizontal="left" vertical="center" wrapText="1"/>
    </xf>
    <xf numFmtId="1" fontId="321" fillId="0" borderId="194" xfId="0" applyNumberFormat="1" applyFont="1" applyBorder="1" applyAlignment="1">
      <alignment horizontal="right" vertical="center" wrapText="1"/>
    </xf>
    <xf numFmtId="10" fontId="322" fillId="35" borderId="188" xfId="20948" applyNumberFormat="1" applyFont="1" applyFill="1" applyBorder="1" applyAlignment="1">
      <alignment horizontal="left" vertical="center" wrapText="1"/>
    </xf>
    <xf numFmtId="10" fontId="94" fillId="0" borderId="197" xfId="20948" applyNumberFormat="1" applyFont="1" applyFill="1" applyBorder="1" applyAlignment="1" applyProtection="1">
      <alignment horizontal="center" vertical="center"/>
    </xf>
    <xf numFmtId="164" fontId="94" fillId="0" borderId="199" xfId="6" applyNumberFormat="1" applyFont="1" applyFill="1" applyBorder="1" applyAlignment="1" applyProtection="1">
      <alignment horizontal="right" vertical="center" wrapText="1"/>
    </xf>
    <xf numFmtId="164" fontId="349" fillId="146" borderId="188" xfId="6" applyNumberFormat="1" applyFont="1" applyFill="1" applyBorder="1" applyAlignment="1">
      <alignment vertical="center"/>
    </xf>
    <xf numFmtId="3" fontId="349" fillId="146" borderId="188" xfId="4" applyNumberFormat="1" applyFont="1" applyFill="1" applyBorder="1" applyAlignment="1">
      <alignment vertical="center"/>
    </xf>
    <xf numFmtId="359" fontId="349" fillId="146" borderId="188" xfId="4" applyNumberFormat="1" applyFont="1" applyFill="1" applyBorder="1" applyAlignment="1" applyProtection="1">
      <alignment vertical="center"/>
      <protection locked="0"/>
    </xf>
    <xf numFmtId="164" fontId="349" fillId="146" borderId="188" xfId="6" applyNumberFormat="1" applyFont="1" applyFill="1" applyBorder="1" applyAlignment="1" applyProtection="1">
      <alignment vertical="center"/>
    </xf>
    <xf numFmtId="164" fontId="349" fillId="3" borderId="188" xfId="6" applyNumberFormat="1" applyFont="1" applyFill="1" applyBorder="1" applyAlignment="1" applyProtection="1">
      <alignment vertical="center"/>
      <protection locked="0"/>
    </xf>
    <xf numFmtId="164" fontId="350" fillId="75" borderId="188" xfId="6" applyNumberFormat="1" applyFont="1" applyFill="1" applyBorder="1" applyAlignment="1">
      <alignment vertical="center"/>
    </xf>
    <xf numFmtId="43" fontId="94" fillId="0" borderId="188" xfId="946" applyFont="1" applyFill="1" applyBorder="1" applyAlignment="1" applyProtection="1">
      <alignment horizontal="right" vertical="center"/>
      <protection locked="0"/>
    </xf>
    <xf numFmtId="164" fontId="322" fillId="0" borderId="194" xfId="6" applyNumberFormat="1" applyFont="1" applyFill="1" applyBorder="1" applyAlignment="1">
      <alignment vertical="center"/>
    </xf>
    <xf numFmtId="164" fontId="321" fillId="0" borderId="0" xfId="6" applyNumberFormat="1" applyFont="1" applyFill="1" applyBorder="1" applyAlignment="1">
      <alignment vertical="center"/>
    </xf>
    <xf numFmtId="164" fontId="321" fillId="0" borderId="82" xfId="6" applyNumberFormat="1" applyFont="1" applyFill="1" applyBorder="1" applyAlignment="1">
      <alignment vertical="center"/>
    </xf>
    <xf numFmtId="169" fontId="94" fillId="0" borderId="188" xfId="6" applyNumberFormat="1" applyFont="1" applyFill="1" applyBorder="1" applyAlignment="1">
      <alignment vertical="center"/>
    </xf>
    <xf numFmtId="164" fontId="346" fillId="0" borderId="188" xfId="6" applyNumberFormat="1" applyFont="1" applyFill="1" applyBorder="1" applyAlignment="1">
      <alignment vertical="center"/>
    </xf>
    <xf numFmtId="164" fontId="106" fillId="0" borderId="188" xfId="6" applyNumberFormat="1" applyFont="1" applyFill="1" applyBorder="1"/>
    <xf numFmtId="1" fontId="347" fillId="0" borderId="182" xfId="6" applyNumberFormat="1" applyFont="1" applyFill="1" applyBorder="1" applyAlignment="1">
      <alignment vertical="center"/>
    </xf>
    <xf numFmtId="0" fontId="93" fillId="0" borderId="115" xfId="0" applyFont="1" applyBorder="1" applyAlignment="1">
      <alignment horizontal="center" vertical="center"/>
    </xf>
    <xf numFmtId="0" fontId="93" fillId="0" borderId="27" xfId="0" applyFont="1" applyBorder="1" applyAlignment="1">
      <alignment horizontal="center" vertical="center"/>
    </xf>
    <xf numFmtId="0" fontId="93" fillId="0" borderId="116" xfId="0" applyFont="1" applyBorder="1" applyAlignment="1">
      <alignment horizontal="center" vertical="center"/>
    </xf>
    <xf numFmtId="0" fontId="93" fillId="0" borderId="56" xfId="0" applyFont="1" applyBorder="1" applyAlignment="1">
      <alignment horizontal="left" wrapText="1"/>
    </xf>
    <xf numFmtId="0" fontId="93" fillId="0" borderId="55" xfId="0" applyFont="1" applyBorder="1" applyAlignment="1">
      <alignment horizontal="left" wrapText="1"/>
    </xf>
    <xf numFmtId="0" fontId="321" fillId="0" borderId="110" xfId="0" applyFont="1" applyBorder="1" applyAlignment="1">
      <alignment horizontal="center" vertical="center"/>
    </xf>
    <xf numFmtId="0" fontId="321" fillId="0" borderId="111" xfId="0" applyFont="1" applyBorder="1" applyAlignment="1">
      <alignment horizontal="center" vertical="center"/>
    </xf>
    <xf numFmtId="0" fontId="321" fillId="0" borderId="112" xfId="0" applyFont="1" applyBorder="1" applyAlignment="1">
      <alignment horizontal="center" vertical="center"/>
    </xf>
    <xf numFmtId="0" fontId="321" fillId="0" borderId="100" xfId="0" applyFont="1" applyBorder="1" applyAlignment="1">
      <alignment horizontal="center" vertical="center"/>
    </xf>
    <xf numFmtId="0" fontId="322" fillId="0" borderId="188" xfId="0" applyFont="1" applyBorder="1" applyAlignment="1">
      <alignment horizontal="center" vertical="center"/>
    </xf>
    <xf numFmtId="0" fontId="108" fillId="0" borderId="13" xfId="0" applyFont="1" applyBorder="1" applyAlignment="1">
      <alignment horizontal="center" vertical="center"/>
    </xf>
    <xf numFmtId="0" fontId="108" fillId="0" borderId="14" xfId="0" applyFont="1" applyBorder="1" applyAlignment="1">
      <alignment horizontal="center" vertical="center"/>
    </xf>
    <xf numFmtId="0" fontId="321" fillId="0" borderId="101" xfId="0" applyFont="1" applyBorder="1" applyAlignment="1">
      <alignment horizontal="center" vertical="center"/>
    </xf>
    <xf numFmtId="0" fontId="321" fillId="0" borderId="102" xfId="0" applyFont="1" applyBorder="1" applyAlignment="1">
      <alignment horizontal="center" vertical="center"/>
    </xf>
    <xf numFmtId="0" fontId="321" fillId="0" borderId="103" xfId="0" applyFont="1" applyBorder="1" applyAlignment="1">
      <alignment horizontal="center" vertical="center"/>
    </xf>
    <xf numFmtId="0" fontId="0" fillId="0" borderId="58" xfId="0" applyBorder="1" applyAlignment="1">
      <alignment horizontal="center" vertical="center"/>
    </xf>
    <xf numFmtId="0" fontId="0" fillId="0" borderId="65" xfId="0" applyBorder="1" applyAlignment="1">
      <alignment horizontal="center" vertical="center"/>
    </xf>
    <xf numFmtId="0" fontId="107" fillId="0" borderId="113" xfId="0" applyFont="1" applyBorder="1" applyAlignment="1">
      <alignment horizontal="center" vertical="center" wrapText="1"/>
    </xf>
    <xf numFmtId="0" fontId="107" fillId="0" borderId="7" xfId="0" applyFont="1" applyBorder="1" applyAlignment="1">
      <alignment horizontal="center" vertical="center" wrapText="1"/>
    </xf>
    <xf numFmtId="0" fontId="84" fillId="0" borderId="109" xfId="0" applyFont="1" applyBorder="1" applyAlignment="1">
      <alignment horizontal="center" vertical="center"/>
    </xf>
    <xf numFmtId="0" fontId="84" fillId="0" borderId="109" xfId="0" applyFont="1" applyBorder="1" applyAlignment="1">
      <alignment horizontal="center" vertical="center" wrapText="1"/>
    </xf>
    <xf numFmtId="0" fontId="45" fillId="0" borderId="13" xfId="0" applyFont="1" applyBorder="1" applyAlignment="1">
      <alignment horizontal="center" vertical="center"/>
    </xf>
    <xf numFmtId="0" fontId="45" fillId="0" borderId="14" xfId="0" applyFont="1" applyBorder="1" applyAlignment="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70" xfId="0" applyFont="1" applyBorder="1" applyAlignment="1">
      <alignment horizontal="center" vertical="center" wrapText="1"/>
    </xf>
    <xf numFmtId="0" fontId="84" fillId="0" borderId="70" xfId="0" applyFont="1" applyBorder="1" applyAlignment="1">
      <alignment horizontal="center" vertical="center" wrapText="1"/>
    </xf>
    <xf numFmtId="0" fontId="45" fillId="0" borderId="70" xfId="10" applyFont="1" applyBorder="1" applyAlignment="1">
      <alignment horizontal="center" vertical="center" wrapText="1"/>
    </xf>
    <xf numFmtId="0" fontId="45" fillId="0" borderId="71" xfId="10" applyFont="1" applyBorder="1" applyAlignment="1">
      <alignment horizontal="center" vertical="center" wrapText="1"/>
    </xf>
    <xf numFmtId="0" fontId="45" fillId="0" borderId="60" xfId="10" applyFont="1" applyBorder="1" applyAlignment="1">
      <alignment horizontal="center" vertical="center" wrapText="1"/>
    </xf>
    <xf numFmtId="0" fontId="45" fillId="0" borderId="0" xfId="10" applyFont="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61" xfId="0" applyFont="1" applyFill="1" applyBorder="1" applyAlignment="1" applyProtection="1">
      <alignment horizontal="center" vertical="center" wrapText="1"/>
      <protection locked="0"/>
    </xf>
    <xf numFmtId="0" fontId="98" fillId="3" borderId="54"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59"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2" xfId="1" applyNumberFormat="1" applyFont="1" applyFill="1" applyBorder="1" applyAlignment="1" applyProtection="1">
      <alignment horizontal="center" vertical="center" wrapText="1"/>
      <protection locked="0"/>
    </xf>
    <xf numFmtId="164" fontId="45" fillId="0" borderId="63" xfId="1" applyNumberFormat="1" applyFont="1" applyFill="1" applyBorder="1" applyAlignment="1" applyProtection="1">
      <alignment horizontal="center" vertical="center" wrapText="1"/>
      <protection locked="0"/>
    </xf>
    <xf numFmtId="0" fontId="3" fillId="0" borderId="61" xfId="0" applyFont="1" applyBorder="1" applyAlignment="1">
      <alignment horizontal="center" vertical="center" wrapText="1"/>
    </xf>
    <xf numFmtId="0" fontId="3" fillId="0" borderId="54" xfId="0" applyFont="1" applyBorder="1" applyAlignment="1">
      <alignment horizontal="center" vertical="center" wrapText="1"/>
    </xf>
    <xf numFmtId="0" fontId="86" fillId="0" borderId="64" xfId="0" applyFont="1" applyBorder="1" applyAlignment="1">
      <alignment horizontal="center"/>
    </xf>
    <xf numFmtId="0" fontId="86" fillId="0" borderId="6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0" xfId="0" applyFont="1" applyBorder="1" applyAlignment="1">
      <alignment horizontal="left" vertical="center"/>
    </xf>
    <xf numFmtId="0" fontId="99" fillId="0" borderId="51" xfId="0" applyFont="1" applyBorder="1" applyAlignment="1">
      <alignment horizontal="left" vertical="center"/>
    </xf>
    <xf numFmtId="0" fontId="3" fillId="0" borderId="51" xfId="0" applyFont="1" applyBorder="1" applyAlignment="1">
      <alignment horizontal="center" vertical="center" wrapText="1"/>
    </xf>
    <xf numFmtId="0" fontId="3" fillId="0" borderId="67" xfId="0" applyFont="1" applyBorder="1" applyAlignment="1">
      <alignment horizontal="center" vertical="center" wrapText="1"/>
    </xf>
    <xf numFmtId="0" fontId="3" fillId="0" borderId="52" xfId="0" applyFont="1" applyBorder="1" applyAlignment="1">
      <alignment horizontal="center" vertical="center" wrapText="1"/>
    </xf>
    <xf numFmtId="0" fontId="84" fillId="0" borderId="13" xfId="0" applyFont="1" applyBorder="1" applyAlignment="1">
      <alignment horizontal="center"/>
    </xf>
    <xf numFmtId="0" fontId="84" fillId="0" borderId="14" xfId="0" applyFont="1" applyBorder="1" applyAlignment="1">
      <alignment horizontal="center" vertical="center" wrapText="1"/>
    </xf>
    <xf numFmtId="0" fontId="84" fillId="0" borderId="71" xfId="0" applyFont="1" applyBorder="1" applyAlignment="1">
      <alignment horizontal="center" vertical="center" wrapText="1"/>
    </xf>
    <xf numFmtId="0" fontId="103" fillId="0" borderId="90" xfId="0" applyFont="1" applyBorder="1" applyAlignment="1">
      <alignment horizontal="left" vertical="center" wrapText="1"/>
    </xf>
    <xf numFmtId="0" fontId="103" fillId="0" borderId="91" xfId="0" applyFont="1" applyBorder="1" applyAlignment="1">
      <alignment horizontal="left" vertical="center" wrapText="1"/>
    </xf>
    <xf numFmtId="0" fontId="103" fillId="0" borderId="95" xfId="0" applyFont="1" applyBorder="1" applyAlignment="1">
      <alignment horizontal="left" vertical="center" wrapText="1"/>
    </xf>
    <xf numFmtId="0" fontId="103" fillId="0" borderId="96" xfId="0" applyFont="1" applyBorder="1" applyAlignment="1">
      <alignment horizontal="left" vertical="center" wrapText="1"/>
    </xf>
    <xf numFmtId="0" fontId="103" fillId="0" borderId="98" xfId="0" applyFont="1" applyBorder="1" applyAlignment="1">
      <alignment horizontal="left" vertical="center" wrapText="1"/>
    </xf>
    <xf numFmtId="0" fontId="103" fillId="0" borderId="99" xfId="0" applyFont="1" applyBorder="1" applyAlignment="1">
      <alignment horizontal="left" vertical="center" wrapText="1"/>
    </xf>
    <xf numFmtId="0" fontId="334" fillId="0" borderId="92" xfId="0" applyFont="1" applyBorder="1" applyAlignment="1">
      <alignment horizontal="center" vertical="center" wrapText="1"/>
    </xf>
    <xf numFmtId="0" fontId="334" fillId="0" borderId="93" xfId="0" applyFont="1" applyBorder="1" applyAlignment="1">
      <alignment horizontal="center" vertical="center" wrapText="1"/>
    </xf>
    <xf numFmtId="0" fontId="334" fillId="0" borderId="94" xfId="0" applyFont="1" applyBorder="1" applyAlignment="1">
      <alignment horizontal="center" vertical="center" wrapText="1"/>
    </xf>
    <xf numFmtId="0" fontId="334" fillId="0" borderId="75" xfId="0" applyFont="1" applyBorder="1" applyAlignment="1">
      <alignment horizontal="center" vertical="center" wrapText="1"/>
    </xf>
    <xf numFmtId="0" fontId="334" fillId="0" borderId="97" xfId="0" applyFont="1" applyBorder="1" applyAlignment="1">
      <alignment horizontal="center" vertical="center" wrapText="1"/>
    </xf>
    <xf numFmtId="0" fontId="334" fillId="0" borderId="65" xfId="0" applyFont="1" applyBorder="1" applyAlignment="1">
      <alignment horizontal="center" vertical="center" wrapText="1"/>
    </xf>
    <xf numFmtId="0" fontId="104" fillId="0" borderId="113" xfId="0" applyFont="1" applyBorder="1" applyAlignment="1">
      <alignment horizontal="center" vertical="center" wrapText="1"/>
    </xf>
    <xf numFmtId="0" fontId="104" fillId="0" borderId="7" xfId="0" applyFont="1" applyBorder="1" applyAlignment="1">
      <alignment horizontal="center" vertical="center" wrapText="1"/>
    </xf>
    <xf numFmtId="0" fontId="104" fillId="0" borderId="109" xfId="0" applyFont="1" applyBorder="1" applyAlignment="1">
      <alignment horizontal="center" vertical="center" wrapText="1"/>
    </xf>
    <xf numFmtId="0" fontId="336" fillId="0" borderId="109" xfId="0" applyFont="1" applyBorder="1" applyAlignment="1">
      <alignment horizontal="center" vertical="center"/>
    </xf>
    <xf numFmtId="0" fontId="336" fillId="0" borderId="92" xfId="0" applyFont="1" applyBorder="1" applyAlignment="1">
      <alignment horizontal="center" vertical="center"/>
    </xf>
    <xf numFmtId="0" fontId="336" fillId="0" borderId="94" xfId="0" applyFont="1" applyBorder="1" applyAlignment="1">
      <alignment horizontal="center" vertical="center"/>
    </xf>
    <xf numFmtId="0" fontId="336" fillId="0" borderId="75" xfId="0" applyFont="1" applyBorder="1" applyAlignment="1">
      <alignment horizontal="center" vertical="center"/>
    </xf>
    <xf numFmtId="0" fontId="336" fillId="0" borderId="65" xfId="0" applyFont="1" applyBorder="1" applyAlignment="1">
      <alignment horizontal="center" vertical="center"/>
    </xf>
    <xf numFmtId="0" fontId="334" fillId="0" borderId="109" xfId="0" applyFont="1" applyBorder="1" applyAlignment="1">
      <alignment horizontal="center" vertical="center" wrapText="1"/>
    </xf>
    <xf numFmtId="0" fontId="104" fillId="0" borderId="112" xfId="0" applyFont="1" applyBorder="1" applyAlignment="1">
      <alignment horizontal="center" vertical="center" wrapText="1"/>
    </xf>
    <xf numFmtId="0" fontId="103" fillId="0" borderId="92" xfId="0" applyFont="1" applyBorder="1" applyAlignment="1">
      <alignment horizontal="center" vertical="center" wrapText="1"/>
    </xf>
    <xf numFmtId="0" fontId="103" fillId="0" borderId="94" xfId="0" applyFont="1" applyBorder="1" applyAlignment="1">
      <alignment horizontal="center" vertical="center" wrapText="1"/>
    </xf>
    <xf numFmtId="0" fontId="103" fillId="0" borderId="60" xfId="0" applyFont="1" applyBorder="1" applyAlignment="1">
      <alignment horizontal="center" vertical="center" wrapText="1"/>
    </xf>
    <xf numFmtId="0" fontId="103" fillId="0" borderId="58" xfId="0" applyFont="1" applyBorder="1" applyAlignment="1">
      <alignment horizontal="center" vertical="center" wrapText="1"/>
    </xf>
    <xf numFmtId="0" fontId="103" fillId="0" borderId="75" xfId="0" applyFont="1" applyBorder="1" applyAlignment="1">
      <alignment horizontal="center" vertical="center" wrapText="1"/>
    </xf>
    <xf numFmtId="0" fontId="103" fillId="0" borderId="65" xfId="0" applyFont="1" applyBorder="1" applyAlignment="1">
      <alignment horizontal="center" vertical="center" wrapText="1"/>
    </xf>
    <xf numFmtId="0" fontId="104" fillId="0" borderId="110" xfId="0" applyFont="1" applyBorder="1" applyAlignment="1">
      <alignment horizontal="center" vertical="center" wrapText="1"/>
    </xf>
    <xf numFmtId="0" fontId="104" fillId="0" borderId="111" xfId="0" applyFont="1" applyBorder="1" applyAlignment="1">
      <alignment horizontal="center" vertical="center" wrapText="1"/>
    </xf>
    <xf numFmtId="0" fontId="103" fillId="0" borderId="66" xfId="0" applyFont="1" applyBorder="1" applyAlignment="1">
      <alignment horizontal="center" vertical="center" wrapText="1"/>
    </xf>
    <xf numFmtId="0" fontId="103" fillId="0" borderId="7" xfId="0" applyFont="1" applyBorder="1" applyAlignment="1">
      <alignment horizontal="center" vertical="center" wrapText="1"/>
    </xf>
    <xf numFmtId="0" fontId="104" fillId="0" borderId="66" xfId="0" applyFont="1" applyBorder="1" applyAlignment="1">
      <alignment horizontal="center" vertical="center" wrapText="1"/>
    </xf>
    <xf numFmtId="0" fontId="104" fillId="0" borderId="65" xfId="0" applyFont="1" applyBorder="1" applyAlignment="1">
      <alignment horizontal="center" vertical="center" wrapText="1"/>
    </xf>
    <xf numFmtId="0" fontId="2" fillId="0" borderId="112" xfId="0" applyFont="1" applyBorder="1" applyAlignment="1">
      <alignment horizontal="center" vertical="center" wrapText="1"/>
    </xf>
    <xf numFmtId="0" fontId="2" fillId="0" borderId="109" xfId="0" applyFont="1" applyBorder="1" applyAlignment="1">
      <alignment horizontal="center" vertical="center" wrapText="1"/>
    </xf>
    <xf numFmtId="0" fontId="45" fillId="0" borderId="50" xfId="0" applyFont="1" applyBorder="1" applyAlignment="1">
      <alignment horizontal="left" vertical="top" wrapText="1"/>
    </xf>
    <xf numFmtId="0" fontId="45" fillId="0" borderId="67" xfId="0" applyFont="1" applyBorder="1" applyAlignment="1">
      <alignment horizontal="left" vertical="top" wrapText="1"/>
    </xf>
    <xf numFmtId="0" fontId="45" fillId="0" borderId="53" xfId="0" applyFont="1" applyBorder="1" applyAlignment="1">
      <alignment horizontal="left" vertical="top" wrapText="1"/>
    </xf>
    <xf numFmtId="0" fontId="45" fillId="0" borderId="82" xfId="0" applyFont="1" applyBorder="1" applyAlignment="1">
      <alignment horizontal="left" vertical="top" wrapText="1"/>
    </xf>
    <xf numFmtId="0" fontId="45" fillId="0" borderId="89" xfId="0" applyFont="1" applyBorder="1" applyAlignment="1">
      <alignment horizontal="left" vertical="top" wrapText="1"/>
    </xf>
    <xf numFmtId="0" fontId="45" fillId="0" borderId="114" xfId="0" applyFont="1" applyBorder="1" applyAlignment="1">
      <alignment horizontal="left" vertical="top" wrapText="1"/>
    </xf>
    <xf numFmtId="0" fontId="2" fillId="0" borderId="66" xfId="0" applyFont="1" applyBorder="1" applyAlignment="1">
      <alignment horizontal="center" vertical="center" wrapText="1"/>
    </xf>
    <xf numFmtId="0" fontId="45" fillId="0" borderId="76" xfId="0" applyFont="1" applyBorder="1" applyAlignment="1">
      <alignment horizontal="center" vertical="center" wrapText="1"/>
    </xf>
    <xf numFmtId="0" fontId="45" fillId="0" borderId="57"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0" borderId="98" xfId="0" applyFont="1" applyBorder="1" applyAlignment="1">
      <alignment horizontal="left" vertical="center" wrapText="1"/>
    </xf>
    <xf numFmtId="0" fontId="45" fillId="0" borderId="99" xfId="0" applyFont="1" applyBorder="1" applyAlignment="1">
      <alignment horizontal="left" vertical="center" wrapText="1"/>
    </xf>
    <xf numFmtId="0" fontId="2" fillId="0" borderId="172" xfId="0" applyFont="1" applyBorder="1" applyAlignment="1">
      <alignment horizontal="center" vertical="top" wrapText="1"/>
    </xf>
    <xf numFmtId="0" fontId="2" fillId="0" borderId="173" xfId="0" applyFont="1" applyBorder="1" applyAlignment="1">
      <alignment horizontal="center" vertical="top" wrapText="1"/>
    </xf>
    <xf numFmtId="0" fontId="2" fillId="0" borderId="177" xfId="0" applyFont="1" applyBorder="1" applyAlignment="1">
      <alignment horizontal="center" vertical="top" wrapText="1"/>
    </xf>
    <xf numFmtId="0" fontId="2" fillId="0" borderId="176" xfId="0" applyFont="1" applyBorder="1" applyAlignment="1">
      <alignment horizontal="center" vertical="top" wrapText="1"/>
    </xf>
    <xf numFmtId="0" fontId="45" fillId="0" borderId="104" xfId="0" applyFont="1" applyBorder="1" applyAlignment="1">
      <alignment horizontal="left" vertical="top" wrapText="1"/>
    </xf>
    <xf numFmtId="0" fontId="45" fillId="0" borderId="105" xfId="0" applyFont="1" applyBorder="1" applyAlignment="1">
      <alignment horizontal="left" vertical="top" wrapText="1"/>
    </xf>
    <xf numFmtId="0" fontId="45" fillId="0" borderId="92" xfId="0" applyFont="1" applyBorder="1" applyAlignment="1">
      <alignment horizontal="center" vertical="center"/>
    </xf>
    <xf numFmtId="0" fontId="45" fillId="0" borderId="94" xfId="0" applyFont="1" applyBorder="1" applyAlignment="1">
      <alignment horizontal="center" vertical="center"/>
    </xf>
    <xf numFmtId="0" fontId="45" fillId="0" borderId="75" xfId="0" applyFont="1" applyBorder="1" applyAlignment="1">
      <alignment horizontal="center" vertical="center"/>
    </xf>
    <xf numFmtId="0" fontId="45" fillId="0" borderId="65" xfId="0" applyFont="1" applyBorder="1" applyAlignment="1">
      <alignment horizontal="center" vertical="center"/>
    </xf>
    <xf numFmtId="0" fontId="2" fillId="0" borderId="113" xfId="0" applyFont="1" applyBorder="1" applyAlignment="1">
      <alignment horizontal="center" vertical="center" wrapText="1"/>
    </xf>
    <xf numFmtId="191" fontId="2" fillId="2" borderId="3" xfId="0" applyNumberFormat="1" applyFont="1" applyFill="1" applyBorder="1" applyAlignment="1" applyProtection="1">
      <alignment vertical="center"/>
      <protection locked="0"/>
    </xf>
    <xf numFmtId="191" fontId="87" fillId="2" borderId="83" xfId="0" applyNumberFormat="1" applyFont="1" applyFill="1" applyBorder="1" applyAlignment="1" applyProtection="1">
      <alignment vertical="center"/>
      <protection locked="0"/>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ystal.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6"/>
  <sheetViews>
    <sheetView zoomScale="70" zoomScaleNormal="80" workbookViewId="0">
      <pane xSplit="1" ySplit="7" topLeftCell="B8" activePane="bottomRight" state="frozen"/>
      <selection activeCell="A4" sqref="A4"/>
      <selection pane="topRight" activeCell="A4" sqref="A4"/>
      <selection pane="bottomLeft" activeCell="A4" sqref="A4"/>
      <selection pane="bottomRight" activeCell="B42" sqref="B42"/>
    </sheetView>
  </sheetViews>
  <sheetFormatPr defaultColWidth="9.21875" defaultRowHeight="13.8"/>
  <cols>
    <col min="1" max="1" width="10.21875" style="9" customWidth="1"/>
    <col min="2" max="2" width="138.33203125" style="10" bestFit="1" customWidth="1"/>
    <col min="3" max="3" width="39.44140625" style="10" customWidth="1"/>
    <col min="4" max="6" width="9.21875" style="10"/>
    <col min="7" max="7" width="25" style="10" customWidth="1"/>
    <col min="8" max="16384" width="9.21875" style="10"/>
  </cols>
  <sheetData>
    <row r="1" spans="1:3">
      <c r="A1" s="88"/>
      <c r="B1" s="93" t="s">
        <v>187</v>
      </c>
      <c r="C1" s="88"/>
    </row>
    <row r="2" spans="1:3">
      <c r="A2" s="94">
        <v>1</v>
      </c>
      <c r="B2" s="186" t="s">
        <v>681</v>
      </c>
      <c r="C2" s="42" t="s">
        <v>698</v>
      </c>
    </row>
    <row r="3" spans="1:3">
      <c r="A3" s="94">
        <v>2</v>
      </c>
      <c r="B3" s="187" t="s">
        <v>185</v>
      </c>
      <c r="C3" s="42" t="s">
        <v>699</v>
      </c>
    </row>
    <row r="4" spans="1:3">
      <c r="A4" s="94">
        <v>3</v>
      </c>
      <c r="B4" s="188" t="s">
        <v>682</v>
      </c>
      <c r="C4" s="42" t="s">
        <v>700</v>
      </c>
    </row>
    <row r="5" spans="1:3">
      <c r="A5" s="95">
        <v>4</v>
      </c>
      <c r="B5" s="189" t="s">
        <v>672</v>
      </c>
      <c r="C5" s="355" t="s">
        <v>701</v>
      </c>
    </row>
    <row r="6" spans="1:3" s="96" customFormat="1" ht="45.75" customHeight="1">
      <c r="A6" s="702" t="s">
        <v>673</v>
      </c>
      <c r="B6" s="703"/>
      <c r="C6" s="703"/>
    </row>
    <row r="7" spans="1:3">
      <c r="A7" s="97" t="s">
        <v>30</v>
      </c>
      <c r="B7" s="93" t="s">
        <v>186</v>
      </c>
    </row>
    <row r="8" spans="1:3">
      <c r="A8" s="88">
        <v>1</v>
      </c>
      <c r="B8" s="121" t="s">
        <v>21</v>
      </c>
    </row>
    <row r="9" spans="1:3">
      <c r="A9" s="88">
        <v>2</v>
      </c>
      <c r="B9" s="122" t="s">
        <v>22</v>
      </c>
    </row>
    <row r="10" spans="1:3">
      <c r="A10" s="88">
        <v>3</v>
      </c>
      <c r="B10" s="122" t="s">
        <v>23</v>
      </c>
    </row>
    <row r="11" spans="1:3">
      <c r="A11" s="88">
        <v>4</v>
      </c>
      <c r="B11" s="122" t="s">
        <v>24</v>
      </c>
    </row>
    <row r="12" spans="1:3">
      <c r="A12" s="88">
        <v>5</v>
      </c>
      <c r="B12" s="122" t="s">
        <v>25</v>
      </c>
    </row>
    <row r="13" spans="1:3">
      <c r="A13" s="88">
        <v>6</v>
      </c>
      <c r="B13" s="123" t="s">
        <v>194</v>
      </c>
    </row>
    <row r="14" spans="1:3">
      <c r="A14" s="88">
        <v>7</v>
      </c>
      <c r="B14" s="122" t="s">
        <v>188</v>
      </c>
    </row>
    <row r="15" spans="1:3">
      <c r="A15" s="88">
        <v>8</v>
      </c>
      <c r="B15" s="122" t="s">
        <v>189</v>
      </c>
    </row>
    <row r="16" spans="1:3">
      <c r="A16" s="88">
        <v>9</v>
      </c>
      <c r="B16" s="122" t="s">
        <v>26</v>
      </c>
    </row>
    <row r="17" spans="1:2">
      <c r="A17" s="185" t="s">
        <v>254</v>
      </c>
      <c r="B17" s="184" t="s">
        <v>242</v>
      </c>
    </row>
    <row r="18" spans="1:2">
      <c r="A18" s="88">
        <v>10</v>
      </c>
      <c r="B18" s="122" t="s">
        <v>27</v>
      </c>
    </row>
    <row r="19" spans="1:2">
      <c r="A19" s="88">
        <v>11</v>
      </c>
      <c r="B19" s="123" t="s">
        <v>190</v>
      </c>
    </row>
    <row r="20" spans="1:2">
      <c r="A20" s="88">
        <v>12</v>
      </c>
      <c r="B20" s="123" t="s">
        <v>28</v>
      </c>
    </row>
    <row r="21" spans="1:2">
      <c r="A21" s="198">
        <v>13</v>
      </c>
      <c r="B21" s="199" t="s">
        <v>191</v>
      </c>
    </row>
    <row r="22" spans="1:2">
      <c r="A22" s="198">
        <v>14</v>
      </c>
      <c r="B22" s="200" t="s">
        <v>216</v>
      </c>
    </row>
    <row r="23" spans="1:2">
      <c r="A23" s="198">
        <v>15</v>
      </c>
      <c r="B23" s="201" t="s">
        <v>29</v>
      </c>
    </row>
    <row r="24" spans="1:2">
      <c r="A24" s="198">
        <v>15.1</v>
      </c>
      <c r="B24" s="202" t="s">
        <v>265</v>
      </c>
    </row>
    <row r="25" spans="1:2">
      <c r="A25" s="244">
        <v>15.2</v>
      </c>
      <c r="B25" s="243" t="s">
        <v>640</v>
      </c>
    </row>
    <row r="26" spans="1:2">
      <c r="A26" s="198">
        <v>16</v>
      </c>
      <c r="B26" s="202" t="s">
        <v>306</v>
      </c>
    </row>
    <row r="27" spans="1:2">
      <c r="A27" s="198">
        <v>17</v>
      </c>
      <c r="B27" s="202" t="s">
        <v>347</v>
      </c>
    </row>
    <row r="28" spans="1:2">
      <c r="A28" s="198">
        <v>18</v>
      </c>
      <c r="B28" s="202" t="s">
        <v>629</v>
      </c>
    </row>
    <row r="29" spans="1:2">
      <c r="A29" s="198">
        <v>19</v>
      </c>
      <c r="B29" s="202" t="s">
        <v>630</v>
      </c>
    </row>
    <row r="30" spans="1:2">
      <c r="A30" s="198">
        <v>20</v>
      </c>
      <c r="B30" s="217" t="s">
        <v>631</v>
      </c>
    </row>
    <row r="31" spans="1:2">
      <c r="A31" s="198">
        <v>21</v>
      </c>
      <c r="B31" s="202" t="s">
        <v>461</v>
      </c>
    </row>
    <row r="32" spans="1:2">
      <c r="A32" s="198">
        <v>22</v>
      </c>
      <c r="B32" s="202" t="s">
        <v>632</v>
      </c>
    </row>
    <row r="33" spans="1:2">
      <c r="A33" s="198">
        <v>23</v>
      </c>
      <c r="B33" s="202" t="s">
        <v>633</v>
      </c>
    </row>
    <row r="34" spans="1:2">
      <c r="A34" s="198">
        <v>24</v>
      </c>
      <c r="B34" s="202" t="s">
        <v>634</v>
      </c>
    </row>
    <row r="35" spans="1:2">
      <c r="A35" s="198">
        <v>25</v>
      </c>
      <c r="B35" s="202" t="s">
        <v>348</v>
      </c>
    </row>
    <row r="36" spans="1:2">
      <c r="A36" s="198">
        <v>26</v>
      </c>
      <c r="B36" s="202" t="s">
        <v>483</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18" location="'10. CC2'!A1" display="Reconciliation of regulatory capital to balance sheet " xr:uid="{00000000-0004-0000-0000-000009000000}"/>
    <hyperlink ref="B19" location="'11. CRWA '!A1" display="Credit risk weighted risk exposures" xr:uid="{00000000-0004-0000-0000-00000A000000}"/>
    <hyperlink ref="B20" location="'12. CRM'!A1" display="Credit risk mitigation" xr:uid="{00000000-0004-0000-0000-00000B000000}"/>
    <hyperlink ref="B21" location="'13. CRME '!A1" display="Standardized approach: Credit risk, effect of credit risk mitigation" xr:uid="{00000000-0004-0000-0000-00000C000000}"/>
    <hyperlink ref="B23" location="'15. CCR '!A1" display="Counterparty credit risk" xr:uid="{00000000-0004-0000-0000-00000D000000}"/>
    <hyperlink ref="B22" location="'14. LCR'!A1" display="Liquidity Coverage Ratio" xr:uid="{00000000-0004-0000-0000-00000E000000}"/>
    <hyperlink ref="B17" location="'9.1. Capital Requirements'!A1" display="Capital Adequacy Requirements" xr:uid="{00000000-0004-0000-0000-00000F000000}"/>
    <hyperlink ref="B24" location="'15.1 LR'!A1" display="Leverage Ratio" xr:uid="{00000000-0004-0000-0000-000010000000}"/>
    <hyperlink ref="B26" location="'16. NSFR'!A1" display="Net Stable Funding Ratio" xr:uid="{00000000-0004-0000-0000-000011000000}"/>
    <hyperlink ref="B27" location="' 17. Residual Maturity'!A1" display="Exposures distributed by residual maturity and Risk Classes" xr:uid="{00000000-0004-0000-0000-000012000000}"/>
    <hyperlink ref="B28" location="'18. Assets by Exposure classes'!A1" display="Gross carrying value, book value, reserves, write-offs and reserve charges by risk classes" xr:uid="{00000000-0004-0000-0000-000013000000}"/>
    <hyperlink ref="B29" location="'19. Assets by Risk Sectors'!A1" display="Gross carrying value, book value, reserves, write-offs and reserve charges by Sectors of income source" xr:uid="{00000000-0004-0000-0000-000014000000}"/>
    <hyperlink ref="B31" location="'21. NPL'!A1" display="Changes in the stock of non-performing loans" xr:uid="{00000000-0004-0000-0000-000015000000}"/>
    <hyperlink ref="B32" location="'22. Quality'!A1" display="Distribution of loans, Debt securities  and Off-balance-sheet items according to  Risk classification and Past due days" xr:uid="{00000000-0004-0000-0000-000016000000}"/>
    <hyperlink ref="B33" location="'23. LTV'!A1" display="Loans Distributed according to LTV ratio, Loan reserves, Value of collateral for loans and loans secured by guarantees according to Risk classification and past due days" xr:uid="{00000000-0004-0000-0000-000017000000}"/>
    <hyperlink ref="B34" location="'24. Risk Sector'!A1" display="Loans and reserves on loans distributed according to Sectors of income source and risk classification" xr:uid="{00000000-0004-0000-0000-000018000000}"/>
    <hyperlink ref="B35" location="'25. Collateral'!A1" display="Loans, corporate debt securities and Off-balance-sheet items distributed by type of collateral" xr:uid="{00000000-0004-0000-0000-000019000000}"/>
    <hyperlink ref="B30" location="'20. Reserves'!A1" display="Change in reserve for loans and Corporate debt securities" xr:uid="{00000000-0004-0000-0000-00001A000000}"/>
    <hyperlink ref="B36" location="'26. Retail Products'!A1" display="General information on retail products" xr:uid="{00000000-0004-0000-0000-00001B000000}"/>
    <hyperlink ref="B25" location="'15.2 CVA'!A1" display="Credit Valuation Adjustment" xr:uid="{00000000-0004-0000-0000-00001C000000}"/>
    <hyperlink ref="C5" r:id="rId1" xr:uid="{90126F8D-9CDB-43CA-A9C5-2F47DF6F792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56"/>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C6" sqref="C6:C53"/>
    </sheetView>
  </sheetViews>
  <sheetFormatPr defaultColWidth="9.21875" defaultRowHeight="13.2"/>
  <cols>
    <col min="1" max="1" width="11.44140625" style="9" customWidth="1"/>
    <col min="2" max="2" width="132.44140625" style="9" customWidth="1"/>
    <col min="3" max="3" width="18.44140625" style="9" customWidth="1"/>
    <col min="4" max="16384" width="9.21875" style="9"/>
  </cols>
  <sheetData>
    <row r="1" spans="1:3">
      <c r="A1" s="504" t="s">
        <v>680</v>
      </c>
      <c r="B1" s="496" t="str">
        <f>'Info '!C2</f>
        <v>Crystal</v>
      </c>
    </row>
    <row r="2" spans="1:3" s="7" customFormat="1" ht="15.75" customHeight="1">
      <c r="A2" s="66" t="s">
        <v>31</v>
      </c>
      <c r="B2" s="497">
        <f>'1. key ratios '!B2</f>
        <v>46112</v>
      </c>
    </row>
    <row r="3" spans="1:3" s="7" customFormat="1" ht="15.75" customHeight="1"/>
    <row r="4" spans="1:3" ht="13.8" thickBot="1">
      <c r="A4" s="9" t="s">
        <v>129</v>
      </c>
      <c r="B4" s="76" t="s">
        <v>128</v>
      </c>
    </row>
    <row r="5" spans="1:3">
      <c r="A5" s="47" t="s">
        <v>7</v>
      </c>
      <c r="B5" s="48"/>
      <c r="C5" s="49" t="s">
        <v>35</v>
      </c>
    </row>
    <row r="6" spans="1:3" s="507" customFormat="1" ht="13.8">
      <c r="A6" s="540">
        <v>1</v>
      </c>
      <c r="B6" s="51" t="s">
        <v>127</v>
      </c>
      <c r="C6" s="606">
        <f>SUM(C7:C11)</f>
        <v>111636235.4213261</v>
      </c>
    </row>
    <row r="7" spans="1:3" ht="13.8">
      <c r="A7" s="50">
        <v>2</v>
      </c>
      <c r="B7" s="52" t="s">
        <v>126</v>
      </c>
      <c r="C7" s="670">
        <v>3634576</v>
      </c>
    </row>
    <row r="8" spans="1:3" ht="13.8">
      <c r="A8" s="50">
        <v>3</v>
      </c>
      <c r="B8" s="53" t="s">
        <v>125</v>
      </c>
      <c r="C8" s="670">
        <v>22109970.23</v>
      </c>
    </row>
    <row r="9" spans="1:3" ht="13.8">
      <c r="A9" s="50">
        <v>4</v>
      </c>
      <c r="B9" s="53" t="s">
        <v>124</v>
      </c>
      <c r="C9" s="670">
        <v>0</v>
      </c>
    </row>
    <row r="10" spans="1:3" ht="13.8">
      <c r="A10" s="50">
        <v>5</v>
      </c>
      <c r="B10" s="53" t="s">
        <v>123</v>
      </c>
      <c r="C10" s="670">
        <v>0</v>
      </c>
    </row>
    <row r="11" spans="1:3" ht="13.8">
      <c r="A11" s="50">
        <v>6</v>
      </c>
      <c r="B11" s="54" t="s">
        <v>122</v>
      </c>
      <c r="C11" s="670">
        <v>85891689.191326097</v>
      </c>
    </row>
    <row r="12" spans="1:3" s="541" customFormat="1" ht="13.8">
      <c r="A12" s="540">
        <v>7</v>
      </c>
      <c r="B12" s="51" t="s">
        <v>121</v>
      </c>
      <c r="C12" s="608">
        <f>SUM(C13:C28)</f>
        <v>8980329.2199999988</v>
      </c>
    </row>
    <row r="13" spans="1:3" s="34" customFormat="1" ht="13.8">
      <c r="A13" s="50">
        <v>8</v>
      </c>
      <c r="B13" s="55" t="s">
        <v>120</v>
      </c>
      <c r="C13" s="607">
        <v>0</v>
      </c>
    </row>
    <row r="14" spans="1:3" s="34" customFormat="1" ht="26.4">
      <c r="A14" s="50">
        <v>9</v>
      </c>
      <c r="B14" s="56" t="s">
        <v>119</v>
      </c>
      <c r="C14" s="670">
        <v>0</v>
      </c>
    </row>
    <row r="15" spans="1:3" s="34" customFormat="1" ht="13.8">
      <c r="A15" s="50">
        <v>10</v>
      </c>
      <c r="B15" s="57" t="s">
        <v>118</v>
      </c>
      <c r="C15" s="670">
        <v>8430538.2199999988</v>
      </c>
    </row>
    <row r="16" spans="1:3" s="34" customFormat="1" ht="13.8">
      <c r="A16" s="50">
        <v>11</v>
      </c>
      <c r="B16" s="58" t="s">
        <v>117</v>
      </c>
      <c r="C16" s="670">
        <v>0</v>
      </c>
    </row>
    <row r="17" spans="1:3" s="34" customFormat="1" ht="13.8">
      <c r="A17" s="50">
        <v>12</v>
      </c>
      <c r="B17" s="57" t="s">
        <v>116</v>
      </c>
      <c r="C17" s="670">
        <v>0</v>
      </c>
    </row>
    <row r="18" spans="1:3" s="34" customFormat="1" ht="13.8">
      <c r="A18" s="50">
        <v>13</v>
      </c>
      <c r="B18" s="57" t="s">
        <v>683</v>
      </c>
      <c r="C18" s="670">
        <v>0</v>
      </c>
    </row>
    <row r="19" spans="1:3" s="34" customFormat="1" ht="13.8">
      <c r="A19" s="50">
        <v>14</v>
      </c>
      <c r="B19" s="57" t="s">
        <v>115</v>
      </c>
      <c r="C19" s="670">
        <v>0</v>
      </c>
    </row>
    <row r="20" spans="1:3" s="34" customFormat="1" ht="13.8">
      <c r="A20" s="50">
        <v>15</v>
      </c>
      <c r="B20" s="57" t="s">
        <v>114</v>
      </c>
      <c r="C20" s="670">
        <v>0</v>
      </c>
    </row>
    <row r="21" spans="1:3" s="34" customFormat="1" ht="26.4">
      <c r="A21" s="50">
        <v>16</v>
      </c>
      <c r="B21" s="56" t="s">
        <v>684</v>
      </c>
      <c r="C21" s="670">
        <v>0</v>
      </c>
    </row>
    <row r="22" spans="1:3" s="34" customFormat="1" ht="13.8">
      <c r="A22" s="50">
        <v>17</v>
      </c>
      <c r="B22" s="59" t="s">
        <v>113</v>
      </c>
      <c r="C22" s="670">
        <v>549791</v>
      </c>
    </row>
    <row r="23" spans="1:3" s="34" customFormat="1" ht="13.8">
      <c r="A23" s="50">
        <v>18</v>
      </c>
      <c r="B23" s="59" t="s">
        <v>484</v>
      </c>
      <c r="C23" s="607">
        <v>0</v>
      </c>
    </row>
    <row r="24" spans="1:3" s="34" customFormat="1" ht="13.8">
      <c r="A24" s="50"/>
      <c r="B24" s="56"/>
      <c r="C24" s="671"/>
    </row>
    <row r="25" spans="1:3" s="34" customFormat="1" ht="13.8">
      <c r="A25" s="50"/>
      <c r="B25" s="56"/>
      <c r="C25" s="671"/>
    </row>
    <row r="26" spans="1:3" s="34" customFormat="1" ht="13.8">
      <c r="A26" s="50">
        <v>21</v>
      </c>
      <c r="B26" s="58" t="s">
        <v>112</v>
      </c>
      <c r="C26" s="607">
        <v>0</v>
      </c>
    </row>
    <row r="27" spans="1:3" s="34" customFormat="1" ht="13.8">
      <c r="A27" s="50"/>
      <c r="B27" s="58"/>
      <c r="C27" s="671"/>
    </row>
    <row r="28" spans="1:3" s="34" customFormat="1" ht="13.8">
      <c r="A28" s="50">
        <v>23</v>
      </c>
      <c r="B28" s="58" t="s">
        <v>111</v>
      </c>
      <c r="C28" s="607">
        <v>0</v>
      </c>
    </row>
    <row r="29" spans="1:3" s="541" customFormat="1" ht="13.8">
      <c r="A29" s="540">
        <v>24</v>
      </c>
      <c r="B29" s="60" t="s">
        <v>110</v>
      </c>
      <c r="C29" s="608">
        <f>C6-C12</f>
        <v>102655906.2013261</v>
      </c>
    </row>
    <row r="30" spans="1:3" s="34" customFormat="1" ht="13.8">
      <c r="A30" s="61"/>
      <c r="B30" s="62"/>
      <c r="C30" s="672"/>
    </row>
    <row r="31" spans="1:3" s="541" customFormat="1" ht="13.8">
      <c r="A31" s="542">
        <v>25</v>
      </c>
      <c r="B31" s="60" t="s">
        <v>109</v>
      </c>
      <c r="C31" s="608">
        <f>C32+C35</f>
        <v>0</v>
      </c>
    </row>
    <row r="32" spans="1:3" s="34" customFormat="1" ht="13.8">
      <c r="A32" s="61">
        <v>26</v>
      </c>
      <c r="B32" s="53" t="s">
        <v>108</v>
      </c>
      <c r="C32" s="673">
        <f>C33+C34</f>
        <v>0</v>
      </c>
    </row>
    <row r="33" spans="1:3" s="34" customFormat="1" ht="13.8">
      <c r="A33" s="61">
        <v>27</v>
      </c>
      <c r="B33" s="63" t="s">
        <v>160</v>
      </c>
      <c r="C33" s="607">
        <v>0</v>
      </c>
    </row>
    <row r="34" spans="1:3" s="34" customFormat="1" ht="13.8">
      <c r="A34" s="61">
        <v>28</v>
      </c>
      <c r="B34" s="63" t="s">
        <v>107</v>
      </c>
      <c r="C34" s="607">
        <v>0</v>
      </c>
    </row>
    <row r="35" spans="1:3" s="34" customFormat="1" ht="13.8">
      <c r="A35" s="61">
        <v>29</v>
      </c>
      <c r="B35" s="53" t="s">
        <v>106</v>
      </c>
      <c r="C35" s="607">
        <v>0</v>
      </c>
    </row>
    <row r="36" spans="1:3" s="541" customFormat="1" ht="13.8">
      <c r="A36" s="542">
        <v>30</v>
      </c>
      <c r="B36" s="60" t="s">
        <v>105</v>
      </c>
      <c r="C36" s="608">
        <f>SUM(C37:C41)</f>
        <v>0</v>
      </c>
    </row>
    <row r="37" spans="1:3" s="34" customFormat="1" ht="13.8">
      <c r="A37" s="61">
        <v>31</v>
      </c>
      <c r="B37" s="56" t="s">
        <v>104</v>
      </c>
      <c r="C37" s="607">
        <v>0</v>
      </c>
    </row>
    <row r="38" spans="1:3" s="34" customFormat="1" ht="13.8">
      <c r="A38" s="61">
        <v>32</v>
      </c>
      <c r="B38" s="57" t="s">
        <v>103</v>
      </c>
      <c r="C38" s="607">
        <v>0</v>
      </c>
    </row>
    <row r="39" spans="1:3" s="34" customFormat="1" ht="26.4">
      <c r="A39" s="61">
        <v>33</v>
      </c>
      <c r="B39" s="56" t="s">
        <v>685</v>
      </c>
      <c r="C39" s="607">
        <v>0</v>
      </c>
    </row>
    <row r="40" spans="1:3" s="34" customFormat="1" ht="13.8">
      <c r="A40" s="61"/>
      <c r="B40" s="56"/>
      <c r="C40" s="671"/>
    </row>
    <row r="41" spans="1:3" s="34" customFormat="1" ht="13.8">
      <c r="A41" s="61">
        <v>35</v>
      </c>
      <c r="B41" s="58" t="s">
        <v>102</v>
      </c>
      <c r="C41" s="607">
        <v>0</v>
      </c>
    </row>
    <row r="42" spans="1:3" s="541" customFormat="1" ht="13.8">
      <c r="A42" s="542">
        <v>36</v>
      </c>
      <c r="B42" s="60" t="s">
        <v>101</v>
      </c>
      <c r="C42" s="608">
        <f>C31-C36</f>
        <v>0</v>
      </c>
    </row>
    <row r="43" spans="1:3" s="34" customFormat="1" ht="13.8">
      <c r="A43" s="61"/>
      <c r="B43" s="62"/>
      <c r="C43" s="672"/>
    </row>
    <row r="44" spans="1:3" s="541" customFormat="1" ht="13.8">
      <c r="A44" s="542">
        <v>37</v>
      </c>
      <c r="B44" s="64" t="s">
        <v>100</v>
      </c>
      <c r="C44" s="608">
        <f>SUM(C45:C47)</f>
        <v>25711952</v>
      </c>
    </row>
    <row r="45" spans="1:3" s="34" customFormat="1" ht="13.8">
      <c r="A45" s="61">
        <v>38</v>
      </c>
      <c r="B45" s="53" t="s">
        <v>99</v>
      </c>
      <c r="C45" s="670">
        <v>25711952</v>
      </c>
    </row>
    <row r="46" spans="1:3" s="34" customFormat="1" ht="13.8">
      <c r="A46" s="61">
        <v>39</v>
      </c>
      <c r="B46" s="53" t="s">
        <v>98</v>
      </c>
      <c r="C46" s="607">
        <v>0</v>
      </c>
    </row>
    <row r="47" spans="1:3" s="34" customFormat="1" ht="13.8">
      <c r="A47" s="61">
        <v>40</v>
      </c>
      <c r="B47" s="53" t="s">
        <v>97</v>
      </c>
      <c r="C47" s="607">
        <v>0</v>
      </c>
    </row>
    <row r="48" spans="1:3" s="541" customFormat="1" ht="13.8">
      <c r="A48" s="542">
        <v>41</v>
      </c>
      <c r="B48" s="64" t="s">
        <v>96</v>
      </c>
      <c r="C48" s="608">
        <f>SUM(C49:C52)</f>
        <v>0</v>
      </c>
    </row>
    <row r="49" spans="1:3" s="34" customFormat="1" ht="13.8">
      <c r="A49" s="61">
        <v>42</v>
      </c>
      <c r="B49" s="56" t="s">
        <v>95</v>
      </c>
      <c r="C49" s="607">
        <v>0</v>
      </c>
    </row>
    <row r="50" spans="1:3" s="34" customFormat="1" ht="13.8">
      <c r="A50" s="61">
        <v>43</v>
      </c>
      <c r="B50" s="57" t="s">
        <v>94</v>
      </c>
      <c r="C50" s="607">
        <v>0</v>
      </c>
    </row>
    <row r="51" spans="1:3" s="34" customFormat="1" ht="13.8">
      <c r="A51" s="61">
        <v>44</v>
      </c>
      <c r="B51" s="56" t="s">
        <v>686</v>
      </c>
      <c r="C51" s="607">
        <v>0</v>
      </c>
    </row>
    <row r="52" spans="1:3" s="34" customFormat="1" ht="13.8">
      <c r="A52" s="61"/>
      <c r="B52" s="56"/>
      <c r="C52" s="671"/>
    </row>
    <row r="53" spans="1:3" s="541" customFormat="1" ht="14.4" thickBot="1">
      <c r="A53" s="542">
        <v>46</v>
      </c>
      <c r="B53" s="65" t="s">
        <v>93</v>
      </c>
      <c r="C53" s="674">
        <f>C44-C48</f>
        <v>25711952</v>
      </c>
    </row>
    <row r="56" spans="1:3">
      <c r="B56" s="9" t="s">
        <v>8</v>
      </c>
    </row>
  </sheetData>
  <dataValidations count="1">
    <dataValidation operator="lessThanOrEqual" allowBlank="1" showInputMessage="1" showErrorMessage="1" errorTitle="Should be negative number" error="Should be whole negative number or 0" sqref="C24:C25 C27 C29:C32 C36 C40 C42:C44 C48 C52:C53" xr:uid="{321D5E1A-D914-4C8B-96DE-836FB37C52AD}"/>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23"/>
  <sheetViews>
    <sheetView zoomScale="80" zoomScaleNormal="80" workbookViewId="0">
      <selection activeCell="C19" sqref="C19:D21"/>
    </sheetView>
  </sheetViews>
  <sheetFormatPr defaultColWidth="9.21875" defaultRowHeight="13.8"/>
  <cols>
    <col min="1" max="1" width="11.109375" style="113" customWidth="1"/>
    <col min="2" max="2" width="59" style="113" customWidth="1"/>
    <col min="3" max="3" width="16.77734375" style="113" bestFit="1" customWidth="1"/>
    <col min="4" max="4" width="13.21875" style="113" bestFit="1" customWidth="1"/>
    <col min="5" max="16384" width="9.21875" style="113"/>
  </cols>
  <sheetData>
    <row r="1" spans="1:4">
      <c r="A1" s="504" t="s">
        <v>680</v>
      </c>
      <c r="B1" s="496" t="str">
        <f>'Info '!C2</f>
        <v>Crystal</v>
      </c>
    </row>
    <row r="2" spans="1:4" s="111" customFormat="1" ht="15.75" customHeight="1">
      <c r="A2" s="498" t="s">
        <v>31</v>
      </c>
      <c r="B2" s="497">
        <f>'1. key ratios '!B2</f>
        <v>46112</v>
      </c>
    </row>
    <row r="3" spans="1:4" s="111" customFormat="1" ht="15.75" customHeight="1"/>
    <row r="4" spans="1:4" ht="14.4" thickBot="1">
      <c r="A4" s="113" t="s">
        <v>241</v>
      </c>
      <c r="B4" s="177" t="s">
        <v>242</v>
      </c>
    </row>
    <row r="5" spans="1:4" s="118" customFormat="1" ht="12.75" customHeight="1">
      <c r="A5" s="196"/>
      <c r="B5" s="197" t="s">
        <v>245</v>
      </c>
      <c r="C5" s="170" t="s">
        <v>243</v>
      </c>
      <c r="D5" s="171" t="s">
        <v>244</v>
      </c>
    </row>
    <row r="6" spans="1:4" s="178" customFormat="1">
      <c r="A6" s="172">
        <v>1</v>
      </c>
      <c r="B6" s="192" t="s">
        <v>246</v>
      </c>
      <c r="C6" s="192"/>
      <c r="D6" s="173"/>
    </row>
    <row r="7" spans="1:4" s="178" customFormat="1">
      <c r="A7" s="174" t="s">
        <v>233</v>
      </c>
      <c r="B7" s="193" t="s">
        <v>247</v>
      </c>
      <c r="C7" s="675">
        <v>4.4999999999999998E-2</v>
      </c>
      <c r="D7" s="676">
        <v>30826745.064310338</v>
      </c>
    </row>
    <row r="8" spans="1:4" s="178" customFormat="1">
      <c r="A8" s="174" t="s">
        <v>234</v>
      </c>
      <c r="B8" s="193" t="s">
        <v>248</v>
      </c>
      <c r="C8" s="677">
        <v>0.06</v>
      </c>
      <c r="D8" s="676">
        <v>41102326.752413787</v>
      </c>
    </row>
    <row r="9" spans="1:4" s="178" customFormat="1">
      <c r="A9" s="174" t="s">
        <v>235</v>
      </c>
      <c r="B9" s="193" t="s">
        <v>249</v>
      </c>
      <c r="C9" s="677">
        <v>0.08</v>
      </c>
      <c r="D9" s="676">
        <v>54803102.336551718</v>
      </c>
    </row>
    <row r="10" spans="1:4" s="178" customFormat="1">
      <c r="A10" s="172" t="s">
        <v>236</v>
      </c>
      <c r="B10" s="192" t="s">
        <v>250</v>
      </c>
      <c r="C10" s="678"/>
      <c r="D10" s="679"/>
    </row>
    <row r="11" spans="1:4" s="179" customFormat="1">
      <c r="A11" s="175" t="s">
        <v>237</v>
      </c>
      <c r="B11" s="190" t="s">
        <v>669</v>
      </c>
      <c r="C11" s="677">
        <v>2.5000000000000001E-2</v>
      </c>
      <c r="D11" s="676">
        <v>17125969.480172411</v>
      </c>
    </row>
    <row r="12" spans="1:4" s="179" customFormat="1">
      <c r="A12" s="175" t="s">
        <v>238</v>
      </c>
      <c r="B12" s="190" t="s">
        <v>251</v>
      </c>
      <c r="C12" s="677">
        <v>7.4999999999999997E-3</v>
      </c>
      <c r="D12" s="676">
        <v>5137790.8440517234</v>
      </c>
    </row>
    <row r="13" spans="1:4" s="179" customFormat="1">
      <c r="A13" s="175"/>
      <c r="B13" s="190"/>
      <c r="C13" s="680"/>
      <c r="D13" s="681"/>
    </row>
    <row r="14" spans="1:4" s="179" customFormat="1">
      <c r="A14" s="172" t="s">
        <v>239</v>
      </c>
      <c r="B14" s="192" t="s">
        <v>295</v>
      </c>
      <c r="C14" s="682"/>
      <c r="D14" s="679"/>
    </row>
    <row r="15" spans="1:4" s="179" customFormat="1">
      <c r="A15" s="175">
        <v>3.1</v>
      </c>
      <c r="B15" s="190" t="s">
        <v>255</v>
      </c>
      <c r="C15" s="677">
        <v>3.2334075521901068E-2</v>
      </c>
      <c r="D15" s="676">
        <v>22150095.622306701</v>
      </c>
    </row>
    <row r="16" spans="1:4" s="179" customFormat="1">
      <c r="A16" s="175">
        <v>3.2</v>
      </c>
      <c r="B16" s="190" t="s">
        <v>256</v>
      </c>
      <c r="C16" s="677">
        <v>3.8414075521901063E-2</v>
      </c>
      <c r="D16" s="676">
        <v>26315131.399884626</v>
      </c>
    </row>
    <row r="17" spans="1:4" s="178" customFormat="1">
      <c r="A17" s="175">
        <v>3.3</v>
      </c>
      <c r="B17" s="190" t="s">
        <v>257</v>
      </c>
      <c r="C17" s="677">
        <v>4.6414075521901063E-2</v>
      </c>
      <c r="D17" s="676">
        <v>31795441.6335398</v>
      </c>
    </row>
    <row r="18" spans="1:4" s="118" customFormat="1" ht="12.75" customHeight="1">
      <c r="A18" s="194"/>
      <c r="B18" s="195" t="s">
        <v>294</v>
      </c>
      <c r="C18" s="191" t="s">
        <v>756</v>
      </c>
      <c r="D18" s="609" t="s">
        <v>757</v>
      </c>
    </row>
    <row r="19" spans="1:4" s="178" customFormat="1">
      <c r="A19" s="176">
        <v>4</v>
      </c>
      <c r="B19" s="190" t="s">
        <v>252</v>
      </c>
      <c r="C19" s="677">
        <v>0.10983407552190107</v>
      </c>
      <c r="D19" s="676">
        <v>75240601.010841176</v>
      </c>
    </row>
    <row r="20" spans="1:4" s="178" customFormat="1">
      <c r="A20" s="176">
        <v>5</v>
      </c>
      <c r="B20" s="190" t="s">
        <v>83</v>
      </c>
      <c r="C20" s="677">
        <v>0.13091407552190107</v>
      </c>
      <c r="D20" s="676">
        <v>89681218.47652255</v>
      </c>
    </row>
    <row r="21" spans="1:4" s="178" customFormat="1" ht="14.4" thickBot="1">
      <c r="A21" s="180" t="s">
        <v>240</v>
      </c>
      <c r="B21" s="181" t="s">
        <v>253</v>
      </c>
      <c r="C21" s="683">
        <v>0.15891407552190107</v>
      </c>
      <c r="D21" s="684">
        <v>108862304.29431565</v>
      </c>
    </row>
    <row r="23" spans="1:4">
      <c r="B23" s="145"/>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8"/>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C6" sqref="C6:C68"/>
    </sheetView>
  </sheetViews>
  <sheetFormatPr defaultColWidth="9.21875" defaultRowHeight="13.8"/>
  <cols>
    <col min="1" max="1" width="10.77734375" style="9" customWidth="1"/>
    <col min="2" max="2" width="91.77734375" style="9" customWidth="1"/>
    <col min="3" max="3" width="53.21875" style="9" customWidth="1"/>
    <col min="4" max="4" width="32.21875" style="9" customWidth="1"/>
    <col min="5" max="5" width="9.44140625" style="10" customWidth="1"/>
    <col min="6" max="16384" width="9.21875" style="10"/>
  </cols>
  <sheetData>
    <row r="1" spans="1:6">
      <c r="A1" s="504" t="s">
        <v>680</v>
      </c>
      <c r="B1" s="496" t="str">
        <f>'Info '!C2</f>
        <v>Crystal</v>
      </c>
      <c r="E1" s="9"/>
      <c r="F1" s="9"/>
    </row>
    <row r="2" spans="1:6" s="7" customFormat="1" ht="15.75" customHeight="1">
      <c r="A2" s="66" t="s">
        <v>31</v>
      </c>
      <c r="B2" s="497">
        <f>'1. key ratios '!B2</f>
        <v>46112</v>
      </c>
    </row>
    <row r="3" spans="1:6" s="7" customFormat="1" ht="15.75" customHeight="1">
      <c r="A3" s="66"/>
    </row>
    <row r="4" spans="1:6" s="7" customFormat="1" ht="15.75" customHeight="1" thickBot="1">
      <c r="A4" s="7" t="s">
        <v>46</v>
      </c>
      <c r="B4" s="107" t="s">
        <v>148</v>
      </c>
      <c r="D4" s="26" t="s">
        <v>35</v>
      </c>
    </row>
    <row r="5" spans="1:6" ht="26.4">
      <c r="A5" s="67" t="s">
        <v>7</v>
      </c>
      <c r="B5" s="125" t="s">
        <v>184</v>
      </c>
      <c r="C5" s="68" t="s">
        <v>591</v>
      </c>
      <c r="D5" s="69" t="s">
        <v>48</v>
      </c>
    </row>
    <row r="6" spans="1:6" s="533" customFormat="1" ht="14.4">
      <c r="A6" s="535">
        <v>1</v>
      </c>
      <c r="B6" s="478" t="s">
        <v>492</v>
      </c>
      <c r="C6" s="610">
        <v>53958782.001199998</v>
      </c>
      <c r="D6" s="539"/>
      <c r="E6" s="72"/>
    </row>
    <row r="7" spans="1:6" ht="14.4">
      <c r="A7" s="218">
        <v>1.1000000000000001</v>
      </c>
      <c r="B7" s="479" t="s">
        <v>493</v>
      </c>
      <c r="C7" s="611">
        <v>22043931.521100003</v>
      </c>
      <c r="D7" s="490"/>
      <c r="E7" s="70"/>
    </row>
    <row r="8" spans="1:6" ht="14.4">
      <c r="A8" s="218">
        <v>1.2</v>
      </c>
      <c r="B8" s="479" t="s">
        <v>494</v>
      </c>
      <c r="C8" s="611">
        <v>27005099.023800001</v>
      </c>
      <c r="D8" s="490"/>
      <c r="E8" s="70"/>
    </row>
    <row r="9" spans="1:6" ht="14.4">
      <c r="A9" s="218">
        <v>1.3</v>
      </c>
      <c r="B9" s="479" t="s">
        <v>495</v>
      </c>
      <c r="C9" s="611">
        <v>4909751.4562999997</v>
      </c>
      <c r="D9" s="490"/>
      <c r="E9" s="70"/>
    </row>
    <row r="10" spans="1:6" s="533" customFormat="1" ht="14.4">
      <c r="A10" s="535">
        <v>2</v>
      </c>
      <c r="B10" s="480" t="s">
        <v>496</v>
      </c>
      <c r="C10" s="612">
        <v>0</v>
      </c>
      <c r="D10" s="492"/>
      <c r="E10" s="72"/>
    </row>
    <row r="11" spans="1:6" ht="14.4">
      <c r="A11" s="218">
        <v>2.1</v>
      </c>
      <c r="B11" s="481" t="s">
        <v>497</v>
      </c>
      <c r="C11" s="611">
        <v>0</v>
      </c>
      <c r="D11" s="491"/>
      <c r="E11" s="71"/>
    </row>
    <row r="12" spans="1:6" s="533" customFormat="1" ht="14.4">
      <c r="A12" s="535">
        <v>3</v>
      </c>
      <c r="B12" s="482" t="s">
        <v>498</v>
      </c>
      <c r="C12" s="612">
        <v>0</v>
      </c>
      <c r="D12" s="537"/>
      <c r="E12" s="538"/>
    </row>
    <row r="13" spans="1:6" s="533" customFormat="1" ht="14.4">
      <c r="A13" s="535">
        <v>4</v>
      </c>
      <c r="B13" s="453" t="s">
        <v>499</v>
      </c>
      <c r="C13" s="612">
        <v>0</v>
      </c>
      <c r="D13" s="537"/>
      <c r="E13" s="538"/>
    </row>
    <row r="14" spans="1:6" s="533" customFormat="1" ht="14.4">
      <c r="A14" s="535">
        <v>5</v>
      </c>
      <c r="B14" s="456" t="s">
        <v>500</v>
      </c>
      <c r="C14" s="612">
        <v>0</v>
      </c>
      <c r="D14" s="537"/>
      <c r="E14" s="538"/>
    </row>
    <row r="15" spans="1:6" ht="14.4">
      <c r="A15" s="218">
        <v>5.0999999999999996</v>
      </c>
      <c r="B15" s="452" t="s">
        <v>501</v>
      </c>
      <c r="C15" s="611">
        <v>0</v>
      </c>
      <c r="D15" s="491"/>
      <c r="E15" s="70"/>
    </row>
    <row r="16" spans="1:6" ht="14.4">
      <c r="A16" s="218">
        <v>5.2</v>
      </c>
      <c r="B16" s="452" t="s">
        <v>502</v>
      </c>
      <c r="C16" s="611">
        <v>0</v>
      </c>
      <c r="D16" s="490"/>
      <c r="E16" s="70"/>
    </row>
    <row r="17" spans="1:5" ht="14.4">
      <c r="A17" s="218">
        <v>5.3</v>
      </c>
      <c r="B17" s="483" t="s">
        <v>503</v>
      </c>
      <c r="C17" s="611">
        <v>0</v>
      </c>
      <c r="D17" s="490"/>
      <c r="E17" s="70"/>
    </row>
    <row r="18" spans="1:5" s="533" customFormat="1" ht="14.4">
      <c r="A18" s="535">
        <v>6</v>
      </c>
      <c r="B18" s="482" t="s">
        <v>504</v>
      </c>
      <c r="C18" s="612">
        <v>576770629.00302505</v>
      </c>
      <c r="D18" s="492"/>
      <c r="E18" s="72"/>
    </row>
    <row r="19" spans="1:5" ht="14.4">
      <c r="A19" s="218">
        <v>6.1</v>
      </c>
      <c r="B19" s="452" t="s">
        <v>502</v>
      </c>
      <c r="C19" s="611">
        <v>0</v>
      </c>
      <c r="D19" s="490"/>
      <c r="E19" s="70"/>
    </row>
    <row r="20" spans="1:5" ht="14.4">
      <c r="A20" s="218">
        <v>6.2</v>
      </c>
      <c r="B20" s="483" t="s">
        <v>503</v>
      </c>
      <c r="C20" s="611">
        <v>576770629.00302505</v>
      </c>
      <c r="D20" s="490"/>
      <c r="E20" s="70"/>
    </row>
    <row r="21" spans="1:5" s="533" customFormat="1" ht="14.4">
      <c r="A21" s="535">
        <v>7</v>
      </c>
      <c r="B21" s="480" t="s">
        <v>505</v>
      </c>
      <c r="C21" s="612">
        <v>549791</v>
      </c>
      <c r="D21" s="532" t="s">
        <v>738</v>
      </c>
      <c r="E21" s="72"/>
    </row>
    <row r="22" spans="1:5" s="533" customFormat="1" ht="14.4">
      <c r="A22" s="535">
        <v>8</v>
      </c>
      <c r="B22" s="480" t="s">
        <v>506</v>
      </c>
      <c r="C22" s="612">
        <v>0</v>
      </c>
      <c r="D22" s="492"/>
      <c r="E22" s="72"/>
    </row>
    <row r="23" spans="1:5" s="533" customFormat="1" ht="14.4">
      <c r="A23" s="535">
        <v>9</v>
      </c>
      <c r="B23" s="453" t="s">
        <v>507</v>
      </c>
      <c r="C23" s="612">
        <v>25004401.72000001</v>
      </c>
      <c r="D23" s="536"/>
      <c r="E23" s="72"/>
    </row>
    <row r="24" spans="1:5" ht="14.4">
      <c r="A24" s="218">
        <v>9.1</v>
      </c>
      <c r="B24" s="452" t="s">
        <v>508</v>
      </c>
      <c r="C24" s="611">
        <v>25004401.72000001</v>
      </c>
      <c r="D24" s="490"/>
      <c r="E24" s="70"/>
    </row>
    <row r="25" spans="1:5" ht="14.4">
      <c r="A25" s="218">
        <v>9.1999999999999993</v>
      </c>
      <c r="B25" s="452" t="s">
        <v>509</v>
      </c>
      <c r="C25" s="612">
        <v>0</v>
      </c>
      <c r="D25" s="492"/>
      <c r="E25" s="72"/>
    </row>
    <row r="26" spans="1:5" s="533" customFormat="1" ht="14.4">
      <c r="A26" s="535">
        <v>10</v>
      </c>
      <c r="B26" s="453" t="s">
        <v>510</v>
      </c>
      <c r="C26" s="612">
        <v>8430538.2199999988</v>
      </c>
      <c r="D26" s="532" t="s">
        <v>739</v>
      </c>
      <c r="E26" s="72"/>
    </row>
    <row r="27" spans="1:5" ht="14.4">
      <c r="A27" s="218">
        <v>10.1</v>
      </c>
      <c r="B27" s="452" t="s">
        <v>511</v>
      </c>
      <c r="C27" s="611">
        <v>0</v>
      </c>
      <c r="D27" s="490"/>
      <c r="E27" s="70"/>
    </row>
    <row r="28" spans="1:5" ht="14.4">
      <c r="A28" s="218">
        <v>10.199999999999999</v>
      </c>
      <c r="B28" s="452" t="s">
        <v>512</v>
      </c>
      <c r="C28" s="611">
        <v>8430538.2199999988</v>
      </c>
      <c r="D28" s="490"/>
      <c r="E28" s="70"/>
    </row>
    <row r="29" spans="1:5" s="533" customFormat="1" ht="14.4">
      <c r="A29" s="535">
        <v>11</v>
      </c>
      <c r="B29" s="453" t="s">
        <v>513</v>
      </c>
      <c r="C29" s="612">
        <v>2791477.1500000004</v>
      </c>
      <c r="D29" s="492"/>
      <c r="E29" s="72"/>
    </row>
    <row r="30" spans="1:5" ht="14.4">
      <c r="A30" s="218">
        <v>11.1</v>
      </c>
      <c r="B30" s="452" t="s">
        <v>514</v>
      </c>
      <c r="C30" s="611">
        <v>2377531.5300000003</v>
      </c>
      <c r="D30" s="490"/>
      <c r="E30" s="70"/>
    </row>
    <row r="31" spans="1:5" ht="14.4">
      <c r="A31" s="218">
        <v>11.2</v>
      </c>
      <c r="B31" s="452" t="s">
        <v>515</v>
      </c>
      <c r="C31" s="611">
        <v>413945.62</v>
      </c>
      <c r="D31" s="490"/>
      <c r="E31" s="70"/>
    </row>
    <row r="32" spans="1:5" s="533" customFormat="1" ht="14.4">
      <c r="A32" s="535">
        <v>13</v>
      </c>
      <c r="B32" s="453" t="s">
        <v>516</v>
      </c>
      <c r="C32" s="612">
        <v>11222314.086000003</v>
      </c>
      <c r="D32" s="492"/>
      <c r="E32" s="72"/>
    </row>
    <row r="33" spans="1:5" ht="14.4">
      <c r="A33" s="218">
        <v>13.1</v>
      </c>
      <c r="B33" s="484" t="s">
        <v>517</v>
      </c>
      <c r="C33" s="611">
        <v>3168298.3799999994</v>
      </c>
      <c r="D33" s="490"/>
      <c r="E33" s="70"/>
    </row>
    <row r="34" spans="1:5" ht="14.4">
      <c r="A34" s="218">
        <v>13.2</v>
      </c>
      <c r="B34" s="484" t="s">
        <v>518</v>
      </c>
      <c r="C34" s="611">
        <v>0</v>
      </c>
      <c r="D34" s="490"/>
      <c r="E34" s="70"/>
    </row>
    <row r="35" spans="1:5" s="533" customFormat="1" ht="14.4">
      <c r="A35" s="535">
        <v>14</v>
      </c>
      <c r="B35" s="453" t="s">
        <v>519</v>
      </c>
      <c r="C35" s="612">
        <v>678727933.18022501</v>
      </c>
      <c r="D35" s="492"/>
      <c r="E35" s="72"/>
    </row>
    <row r="36" spans="1:5" ht="14.4">
      <c r="A36" s="218"/>
      <c r="B36" s="485" t="s">
        <v>520</v>
      </c>
      <c r="C36" s="613"/>
      <c r="D36" s="493"/>
      <c r="E36" s="70"/>
    </row>
    <row r="37" spans="1:5" s="533" customFormat="1" ht="14.4">
      <c r="A37" s="535">
        <v>15</v>
      </c>
      <c r="B37" s="480" t="s">
        <v>521</v>
      </c>
      <c r="C37" s="612">
        <v>0</v>
      </c>
      <c r="D37" s="492"/>
      <c r="E37" s="72"/>
    </row>
    <row r="38" spans="1:5" ht="14.4">
      <c r="A38" s="219">
        <v>15.1</v>
      </c>
      <c r="B38" s="481" t="s">
        <v>497</v>
      </c>
      <c r="C38" s="611">
        <v>0</v>
      </c>
      <c r="D38" s="490"/>
      <c r="E38" s="70"/>
    </row>
    <row r="39" spans="1:5" s="533" customFormat="1" ht="14.4">
      <c r="A39" s="531">
        <v>16</v>
      </c>
      <c r="B39" s="480" t="s">
        <v>522</v>
      </c>
      <c r="C39" s="612">
        <v>10169943.660000002</v>
      </c>
      <c r="D39" s="492"/>
      <c r="E39" s="72"/>
    </row>
    <row r="40" spans="1:5" s="533" customFormat="1" ht="14.4">
      <c r="A40" s="531">
        <v>17</v>
      </c>
      <c r="B40" s="480" t="s">
        <v>523</v>
      </c>
      <c r="C40" s="612">
        <v>497812140.08870214</v>
      </c>
      <c r="D40" s="492"/>
      <c r="E40" s="72"/>
    </row>
    <row r="41" spans="1:5" ht="14.4">
      <c r="A41" s="219">
        <v>17.100000000000001</v>
      </c>
      <c r="B41" s="486" t="s">
        <v>524</v>
      </c>
      <c r="C41" s="611">
        <v>38804486.814898841</v>
      </c>
      <c r="D41" s="490"/>
      <c r="E41" s="70"/>
    </row>
    <row r="42" spans="1:5" ht="14.4">
      <c r="A42" s="219">
        <v>17.2</v>
      </c>
      <c r="B42" s="479" t="s">
        <v>525</v>
      </c>
      <c r="C42" s="611">
        <v>396579227.07850331</v>
      </c>
      <c r="D42" s="490"/>
      <c r="E42" s="70"/>
    </row>
    <row r="43" spans="1:5" ht="14.4">
      <c r="A43" s="219">
        <v>17.3</v>
      </c>
      <c r="B43" s="486" t="s">
        <v>526</v>
      </c>
      <c r="C43" s="611">
        <v>57491058.196499974</v>
      </c>
      <c r="D43" s="490"/>
      <c r="E43" s="70"/>
    </row>
    <row r="44" spans="1:5" ht="14.4">
      <c r="A44" s="219">
        <v>17.399999999999999</v>
      </c>
      <c r="B44" s="486" t="s">
        <v>527</v>
      </c>
      <c r="C44" s="611">
        <v>4937367.9987999983</v>
      </c>
      <c r="D44" s="490"/>
      <c r="E44" s="70"/>
    </row>
    <row r="45" spans="1:5" s="533" customFormat="1" ht="14.4">
      <c r="A45" s="531">
        <v>18</v>
      </c>
      <c r="B45" s="453" t="s">
        <v>528</v>
      </c>
      <c r="C45" s="612">
        <v>202123.46000000002</v>
      </c>
      <c r="D45" s="492"/>
      <c r="E45" s="72"/>
    </row>
    <row r="46" spans="1:5" s="533" customFormat="1" ht="14.4">
      <c r="A46" s="531">
        <v>19</v>
      </c>
      <c r="B46" s="453" t="s">
        <v>529</v>
      </c>
      <c r="C46" s="612">
        <v>0</v>
      </c>
      <c r="D46" s="534"/>
    </row>
    <row r="47" spans="1:5" ht="14.4">
      <c r="A47" s="219">
        <v>19.100000000000001</v>
      </c>
      <c r="B47" s="449" t="s">
        <v>530</v>
      </c>
      <c r="C47" s="611">
        <v>0</v>
      </c>
      <c r="D47" s="494"/>
    </row>
    <row r="48" spans="1:5" ht="14.4">
      <c r="A48" s="219">
        <v>19.2</v>
      </c>
      <c r="B48" s="449" t="s">
        <v>531</v>
      </c>
      <c r="C48" s="611">
        <v>0</v>
      </c>
      <c r="D48" s="494"/>
    </row>
    <row r="49" spans="1:4" s="533" customFormat="1" ht="14.4">
      <c r="A49" s="531">
        <v>20</v>
      </c>
      <c r="B49" s="487" t="s">
        <v>532</v>
      </c>
      <c r="C49" s="612">
        <v>40668262.525700003</v>
      </c>
      <c r="D49" s="532" t="s">
        <v>740</v>
      </c>
    </row>
    <row r="50" spans="1:4" s="533" customFormat="1" ht="14.4">
      <c r="A50" s="531">
        <v>21</v>
      </c>
      <c r="B50" s="480" t="s">
        <v>533</v>
      </c>
      <c r="C50" s="612">
        <v>18239227.830799997</v>
      </c>
      <c r="D50" s="534"/>
    </row>
    <row r="51" spans="1:4" ht="14.4">
      <c r="A51" s="219">
        <v>21.1</v>
      </c>
      <c r="B51" s="479" t="s">
        <v>534</v>
      </c>
      <c r="C51" s="611">
        <v>64562.828200000004</v>
      </c>
      <c r="D51" s="494"/>
    </row>
    <row r="52" spans="1:4" s="533" customFormat="1" ht="14.4">
      <c r="A52" s="531">
        <v>22</v>
      </c>
      <c r="B52" s="456" t="s">
        <v>535</v>
      </c>
      <c r="C52" s="612">
        <v>567091697.56520224</v>
      </c>
      <c r="D52" s="534"/>
    </row>
    <row r="53" spans="1:4" ht="14.4">
      <c r="A53" s="219"/>
      <c r="B53" s="485" t="s">
        <v>536</v>
      </c>
      <c r="C53" s="613"/>
      <c r="D53" s="495"/>
    </row>
    <row r="54" spans="1:4" s="533" customFormat="1" ht="14.4">
      <c r="A54" s="531">
        <v>23</v>
      </c>
      <c r="B54" s="487" t="s">
        <v>537</v>
      </c>
      <c r="C54" s="612">
        <v>3634576</v>
      </c>
      <c r="D54" s="532" t="s">
        <v>741</v>
      </c>
    </row>
    <row r="55" spans="1:4" s="533" customFormat="1" ht="14.4">
      <c r="A55" s="531">
        <v>24</v>
      </c>
      <c r="B55" s="487" t="s">
        <v>538</v>
      </c>
      <c r="C55" s="612">
        <v>0</v>
      </c>
      <c r="D55" s="534"/>
    </row>
    <row r="56" spans="1:4" s="533" customFormat="1" ht="14.4">
      <c r="A56" s="531">
        <v>25</v>
      </c>
      <c r="B56" s="453" t="s">
        <v>539</v>
      </c>
      <c r="C56" s="612">
        <v>22109970.23</v>
      </c>
      <c r="D56" s="532" t="s">
        <v>742</v>
      </c>
    </row>
    <row r="57" spans="1:4" s="533" customFormat="1" ht="14.4">
      <c r="A57" s="531">
        <v>26</v>
      </c>
      <c r="B57" s="453" t="s">
        <v>540</v>
      </c>
      <c r="C57" s="612">
        <v>0</v>
      </c>
      <c r="D57" s="534"/>
    </row>
    <row r="58" spans="1:4" s="533" customFormat="1" ht="14.4">
      <c r="A58" s="531">
        <v>27</v>
      </c>
      <c r="B58" s="453" t="s">
        <v>541</v>
      </c>
      <c r="C58" s="612">
        <v>0</v>
      </c>
      <c r="D58" s="534"/>
    </row>
    <row r="59" spans="1:4" ht="14.4">
      <c r="A59" s="219">
        <v>27.1</v>
      </c>
      <c r="B59" s="486" t="s">
        <v>542</v>
      </c>
      <c r="C59" s="611">
        <v>0</v>
      </c>
      <c r="D59" s="494"/>
    </row>
    <row r="60" spans="1:4" ht="14.4">
      <c r="A60" s="219">
        <v>27.2</v>
      </c>
      <c r="B60" s="486" t="s">
        <v>543</v>
      </c>
      <c r="C60" s="611">
        <v>0</v>
      </c>
      <c r="D60" s="494"/>
    </row>
    <row r="61" spans="1:4" s="533" customFormat="1" ht="14.4">
      <c r="A61" s="531">
        <v>28</v>
      </c>
      <c r="B61" s="488" t="s">
        <v>544</v>
      </c>
      <c r="C61" s="612">
        <v>0</v>
      </c>
      <c r="D61" s="534"/>
    </row>
    <row r="62" spans="1:4" s="533" customFormat="1" ht="14.4">
      <c r="A62" s="531">
        <v>29</v>
      </c>
      <c r="B62" s="453" t="s">
        <v>545</v>
      </c>
      <c r="C62" s="612">
        <v>0</v>
      </c>
      <c r="D62" s="534"/>
    </row>
    <row r="63" spans="1:4" ht="14.4">
      <c r="A63" s="219">
        <v>29.1</v>
      </c>
      <c r="B63" s="483" t="s">
        <v>546</v>
      </c>
      <c r="C63" s="611">
        <v>0</v>
      </c>
      <c r="D63" s="494"/>
    </row>
    <row r="64" spans="1:4" ht="14.4">
      <c r="A64" s="219">
        <v>29.2</v>
      </c>
      <c r="B64" s="449" t="s">
        <v>547</v>
      </c>
      <c r="C64" s="611">
        <v>0</v>
      </c>
      <c r="D64" s="494"/>
    </row>
    <row r="65" spans="1:4" ht="14.4">
      <c r="A65" s="219">
        <v>29.3</v>
      </c>
      <c r="B65" s="449" t="s">
        <v>548</v>
      </c>
      <c r="C65" s="611">
        <v>0</v>
      </c>
      <c r="D65" s="494"/>
    </row>
    <row r="66" spans="1:4" s="533" customFormat="1" ht="14.4">
      <c r="A66" s="531">
        <v>30</v>
      </c>
      <c r="B66" s="453" t="s">
        <v>549</v>
      </c>
      <c r="C66" s="612">
        <v>85891689.191326097</v>
      </c>
      <c r="D66" s="532" t="s">
        <v>743</v>
      </c>
    </row>
    <row r="67" spans="1:4" s="533" customFormat="1" ht="14.4">
      <c r="A67" s="531">
        <v>31</v>
      </c>
      <c r="B67" s="489" t="s">
        <v>550</v>
      </c>
      <c r="C67" s="612">
        <v>111636235.4213261</v>
      </c>
      <c r="D67" s="494"/>
    </row>
    <row r="68" spans="1:4" s="533" customFormat="1" ht="15" thickBot="1">
      <c r="A68" s="531">
        <v>32</v>
      </c>
      <c r="B68" s="453" t="s">
        <v>551</v>
      </c>
      <c r="C68" s="614">
        <v>678727932.9865284</v>
      </c>
      <c r="D68" s="615"/>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22"/>
  <sheetViews>
    <sheetView zoomScale="70" zoomScaleNormal="70" workbookViewId="0">
      <pane xSplit="2" ySplit="7" topLeftCell="H8" activePane="bottomRight" state="frozen"/>
      <selection activeCell="B42" sqref="B42"/>
      <selection pane="topRight" activeCell="B42" sqref="B42"/>
      <selection pane="bottomLeft" activeCell="B42" sqref="B42"/>
      <selection pane="bottomRight" activeCell="C8" sqref="C8:S21"/>
    </sheetView>
  </sheetViews>
  <sheetFormatPr defaultColWidth="9.21875" defaultRowHeight="13.2"/>
  <cols>
    <col min="1" max="1" width="11.109375" style="9" bestFit="1" customWidth="1"/>
    <col min="2" max="2" width="95" style="9" customWidth="1"/>
    <col min="3" max="3" width="14.109375" style="9" bestFit="1" customWidth="1"/>
    <col min="4" max="4" width="16.5546875" style="9" bestFit="1" customWidth="1"/>
    <col min="5" max="5" width="14.109375" style="9" bestFit="1" customWidth="1"/>
    <col min="6" max="6" width="16.5546875" style="9" bestFit="1" customWidth="1"/>
    <col min="7" max="7" width="13.109375" style="9" bestFit="1" customWidth="1"/>
    <col min="8" max="8" width="13.33203125" style="9" bestFit="1" customWidth="1"/>
    <col min="9" max="9" width="13.109375" style="9" bestFit="1" customWidth="1"/>
    <col min="10" max="10" width="13.33203125" style="9" bestFit="1" customWidth="1"/>
    <col min="11" max="11" width="15.109375" style="9" bestFit="1" customWidth="1"/>
    <col min="12" max="12" width="13.109375" style="25" bestFit="1" customWidth="1"/>
    <col min="13" max="13" width="14.109375" style="25" bestFit="1" customWidth="1"/>
    <col min="14" max="16" width="13.109375" style="25" bestFit="1" customWidth="1"/>
    <col min="17" max="17" width="14.77734375" style="25" customWidth="1"/>
    <col min="18" max="18" width="13.109375" style="25" bestFit="1" customWidth="1"/>
    <col min="19" max="19" width="34.77734375" style="25" customWidth="1"/>
    <col min="20" max="16384" width="9.21875" style="25"/>
  </cols>
  <sheetData>
    <row r="1" spans="1:19">
      <c r="A1" s="506" t="s">
        <v>680</v>
      </c>
      <c r="B1" s="496" t="str">
        <f>'Info '!C2</f>
        <v>Crystal</v>
      </c>
    </row>
    <row r="2" spans="1:19">
      <c r="A2" s="66" t="s">
        <v>31</v>
      </c>
      <c r="B2" s="497">
        <f>'1. key ratios '!B2</f>
        <v>46112</v>
      </c>
    </row>
    <row r="4" spans="1:19" ht="27" thickBot="1">
      <c r="A4" s="9" t="s">
        <v>132</v>
      </c>
      <c r="B4" s="139" t="s">
        <v>214</v>
      </c>
    </row>
    <row r="5" spans="1:19" s="132" customFormat="1" ht="13.8">
      <c r="A5" s="127"/>
      <c r="B5" s="128"/>
      <c r="C5" s="129" t="s">
        <v>0</v>
      </c>
      <c r="D5" s="129" t="s">
        <v>1</v>
      </c>
      <c r="E5" s="129" t="s">
        <v>2</v>
      </c>
      <c r="F5" s="129" t="s">
        <v>3</v>
      </c>
      <c r="G5" s="129" t="s">
        <v>4</v>
      </c>
      <c r="H5" s="129" t="s">
        <v>6</v>
      </c>
      <c r="I5" s="129" t="s">
        <v>9</v>
      </c>
      <c r="J5" s="129" t="s">
        <v>10</v>
      </c>
      <c r="K5" s="129" t="s">
        <v>11</v>
      </c>
      <c r="L5" s="129" t="s">
        <v>12</v>
      </c>
      <c r="M5" s="129" t="s">
        <v>13</v>
      </c>
      <c r="N5" s="129" t="s">
        <v>14</v>
      </c>
      <c r="O5" s="129" t="s">
        <v>198</v>
      </c>
      <c r="P5" s="129" t="s">
        <v>199</v>
      </c>
      <c r="Q5" s="129" t="s">
        <v>200</v>
      </c>
      <c r="R5" s="130" t="s">
        <v>201</v>
      </c>
      <c r="S5" s="131" t="s">
        <v>202</v>
      </c>
    </row>
    <row r="6" spans="1:19" s="132" customFormat="1" ht="99" customHeight="1">
      <c r="A6" s="133"/>
      <c r="B6" s="734" t="s">
        <v>203</v>
      </c>
      <c r="C6" s="730">
        <v>0</v>
      </c>
      <c r="D6" s="731"/>
      <c r="E6" s="730">
        <v>0.2</v>
      </c>
      <c r="F6" s="731"/>
      <c r="G6" s="730">
        <v>0.35</v>
      </c>
      <c r="H6" s="731"/>
      <c r="I6" s="730">
        <v>0.5</v>
      </c>
      <c r="J6" s="731"/>
      <c r="K6" s="730">
        <v>0.75</v>
      </c>
      <c r="L6" s="731"/>
      <c r="M6" s="730">
        <v>1</v>
      </c>
      <c r="N6" s="731"/>
      <c r="O6" s="730">
        <v>1.5</v>
      </c>
      <c r="P6" s="731"/>
      <c r="Q6" s="730">
        <v>2.5</v>
      </c>
      <c r="R6" s="731"/>
      <c r="S6" s="732" t="s">
        <v>131</v>
      </c>
    </row>
    <row r="7" spans="1:19" s="132" customFormat="1" ht="30.75" customHeight="1">
      <c r="A7" s="133"/>
      <c r="B7" s="735"/>
      <c r="C7" s="124" t="s">
        <v>134</v>
      </c>
      <c r="D7" s="124" t="s">
        <v>133</v>
      </c>
      <c r="E7" s="124" t="s">
        <v>134</v>
      </c>
      <c r="F7" s="124" t="s">
        <v>133</v>
      </c>
      <c r="G7" s="124" t="s">
        <v>134</v>
      </c>
      <c r="H7" s="124" t="s">
        <v>133</v>
      </c>
      <c r="I7" s="124" t="s">
        <v>134</v>
      </c>
      <c r="J7" s="124" t="s">
        <v>133</v>
      </c>
      <c r="K7" s="124" t="s">
        <v>134</v>
      </c>
      <c r="L7" s="124" t="s">
        <v>133</v>
      </c>
      <c r="M7" s="124" t="s">
        <v>134</v>
      </c>
      <c r="N7" s="124" t="s">
        <v>133</v>
      </c>
      <c r="O7" s="124" t="s">
        <v>134</v>
      </c>
      <c r="P7" s="124" t="s">
        <v>133</v>
      </c>
      <c r="Q7" s="124" t="s">
        <v>134</v>
      </c>
      <c r="R7" s="124" t="s">
        <v>133</v>
      </c>
      <c r="S7" s="733"/>
    </row>
    <row r="8" spans="1:19">
      <c r="A8" s="73">
        <v>1</v>
      </c>
      <c r="B8" s="6" t="s">
        <v>50</v>
      </c>
      <c r="C8" s="367">
        <v>5414607.6399999997</v>
      </c>
      <c r="D8" s="367"/>
      <c r="E8" s="367"/>
      <c r="F8" s="367"/>
      <c r="G8" s="367"/>
      <c r="H8" s="367"/>
      <c r="I8" s="367"/>
      <c r="J8" s="367"/>
      <c r="K8" s="367"/>
      <c r="L8" s="367"/>
      <c r="M8" s="367">
        <v>21590491.3838</v>
      </c>
      <c r="N8" s="367"/>
      <c r="O8" s="367"/>
      <c r="P8" s="367"/>
      <c r="Q8" s="367"/>
      <c r="R8" s="367"/>
      <c r="S8" s="367">
        <v>21590491.3838</v>
      </c>
    </row>
    <row r="9" spans="1:19">
      <c r="A9" s="73">
        <v>2</v>
      </c>
      <c r="B9" s="6" t="s">
        <v>51</v>
      </c>
      <c r="C9" s="367"/>
      <c r="D9" s="367"/>
      <c r="E9" s="367"/>
      <c r="F9" s="367"/>
      <c r="G9" s="367"/>
      <c r="H9" s="367"/>
      <c r="I9" s="367"/>
      <c r="J9" s="367"/>
      <c r="K9" s="367"/>
      <c r="L9" s="367"/>
      <c r="M9" s="367"/>
      <c r="N9" s="367"/>
      <c r="O9" s="367"/>
      <c r="P9" s="367"/>
      <c r="Q9" s="367"/>
      <c r="R9" s="367"/>
      <c r="S9" s="367">
        <v>0</v>
      </c>
    </row>
    <row r="10" spans="1:19">
      <c r="A10" s="73">
        <v>3</v>
      </c>
      <c r="B10" s="6" t="s">
        <v>138</v>
      </c>
      <c r="C10" s="367"/>
      <c r="D10" s="367"/>
      <c r="E10" s="367"/>
      <c r="F10" s="367"/>
      <c r="G10" s="367"/>
      <c r="H10" s="367"/>
      <c r="I10" s="367"/>
      <c r="J10" s="367"/>
      <c r="K10" s="367"/>
      <c r="L10" s="367"/>
      <c r="M10" s="367"/>
      <c r="N10" s="367"/>
      <c r="O10" s="367"/>
      <c r="P10" s="367"/>
      <c r="Q10" s="367"/>
      <c r="R10" s="367"/>
      <c r="S10" s="367">
        <v>0</v>
      </c>
    </row>
    <row r="11" spans="1:19">
      <c r="A11" s="73">
        <v>4</v>
      </c>
      <c r="B11" s="6" t="s">
        <v>52</v>
      </c>
      <c r="C11" s="367"/>
      <c r="D11" s="367"/>
      <c r="E11" s="367"/>
      <c r="F11" s="367"/>
      <c r="G11" s="367"/>
      <c r="H11" s="367"/>
      <c r="I11" s="367"/>
      <c r="J11" s="367"/>
      <c r="K11" s="367"/>
      <c r="L11" s="367"/>
      <c r="M11" s="367"/>
      <c r="N11" s="367"/>
      <c r="O11" s="367"/>
      <c r="P11" s="367"/>
      <c r="Q11" s="367"/>
      <c r="R11" s="367"/>
      <c r="S11" s="367">
        <v>0</v>
      </c>
    </row>
    <row r="12" spans="1:19">
      <c r="A12" s="73">
        <v>5</v>
      </c>
      <c r="B12" s="6" t="s">
        <v>53</v>
      </c>
      <c r="C12" s="367"/>
      <c r="D12" s="367"/>
      <c r="E12" s="367"/>
      <c r="F12" s="367"/>
      <c r="G12" s="367"/>
      <c r="H12" s="367"/>
      <c r="I12" s="367"/>
      <c r="J12" s="367"/>
      <c r="K12" s="367"/>
      <c r="L12" s="367"/>
      <c r="M12" s="367"/>
      <c r="N12" s="367"/>
      <c r="O12" s="367"/>
      <c r="P12" s="367"/>
      <c r="Q12" s="367"/>
      <c r="R12" s="367"/>
      <c r="S12" s="367">
        <v>0</v>
      </c>
    </row>
    <row r="13" spans="1:19">
      <c r="A13" s="73">
        <v>6</v>
      </c>
      <c r="B13" s="6" t="s">
        <v>687</v>
      </c>
      <c r="C13" s="367"/>
      <c r="D13" s="367"/>
      <c r="E13" s="367">
        <v>2891297.51</v>
      </c>
      <c r="F13" s="367"/>
      <c r="G13" s="367"/>
      <c r="H13" s="367"/>
      <c r="I13" s="367">
        <v>1641685.9462999997</v>
      </c>
      <c r="J13" s="367"/>
      <c r="K13" s="367"/>
      <c r="L13" s="367"/>
      <c r="M13" s="367">
        <v>376768</v>
      </c>
      <c r="N13" s="367"/>
      <c r="O13" s="367"/>
      <c r="P13" s="367"/>
      <c r="Q13" s="367"/>
      <c r="R13" s="367"/>
      <c r="S13" s="367">
        <v>1775870.4751499998</v>
      </c>
    </row>
    <row r="14" spans="1:19">
      <c r="A14" s="73">
        <v>7</v>
      </c>
      <c r="B14" s="6" t="s">
        <v>54</v>
      </c>
      <c r="C14" s="367"/>
      <c r="D14" s="367"/>
      <c r="E14" s="367"/>
      <c r="F14" s="367"/>
      <c r="G14" s="367"/>
      <c r="H14" s="367"/>
      <c r="I14" s="367"/>
      <c r="J14" s="367"/>
      <c r="K14" s="367"/>
      <c r="L14" s="367"/>
      <c r="M14" s="367"/>
      <c r="N14" s="367"/>
      <c r="O14" s="367"/>
      <c r="P14" s="367"/>
      <c r="Q14" s="367"/>
      <c r="R14" s="367"/>
      <c r="S14" s="367">
        <v>0</v>
      </c>
    </row>
    <row r="15" spans="1:19">
      <c r="A15" s="73">
        <v>8</v>
      </c>
      <c r="B15" s="6" t="s">
        <v>55</v>
      </c>
      <c r="C15" s="367"/>
      <c r="D15" s="367"/>
      <c r="E15" s="367"/>
      <c r="F15" s="367"/>
      <c r="G15" s="367"/>
      <c r="H15" s="367"/>
      <c r="I15" s="367" t="s">
        <v>5</v>
      </c>
      <c r="J15" s="367"/>
      <c r="K15" s="367">
        <v>573393798.24760282</v>
      </c>
      <c r="L15" s="367"/>
      <c r="M15" s="367"/>
      <c r="N15" s="367">
        <v>588133.35978999827</v>
      </c>
      <c r="O15" s="367"/>
      <c r="P15" s="367"/>
      <c r="Q15" s="367"/>
      <c r="R15" s="367"/>
      <c r="S15" s="367">
        <v>430633482.04549211</v>
      </c>
    </row>
    <row r="16" spans="1:19">
      <c r="A16" s="73">
        <v>9</v>
      </c>
      <c r="B16" s="6" t="s">
        <v>56</v>
      </c>
      <c r="C16" s="367"/>
      <c r="D16" s="367"/>
      <c r="E16" s="367"/>
      <c r="F16" s="367"/>
      <c r="G16" s="367"/>
      <c r="H16" s="367"/>
      <c r="I16" s="367"/>
      <c r="J16" s="367"/>
      <c r="K16" s="367"/>
      <c r="L16" s="367"/>
      <c r="M16" s="367"/>
      <c r="N16" s="367"/>
      <c r="O16" s="367"/>
      <c r="P16" s="367"/>
      <c r="Q16" s="367"/>
      <c r="R16" s="367"/>
      <c r="S16" s="367">
        <v>0</v>
      </c>
    </row>
    <row r="17" spans="1:19">
      <c r="A17" s="73">
        <v>10</v>
      </c>
      <c r="B17" s="6" t="s">
        <v>57</v>
      </c>
      <c r="C17" s="367"/>
      <c r="D17" s="367"/>
      <c r="E17" s="367"/>
      <c r="F17" s="367"/>
      <c r="G17" s="367"/>
      <c r="H17" s="367"/>
      <c r="I17" s="367"/>
      <c r="J17" s="367"/>
      <c r="K17" s="367"/>
      <c r="L17" s="367"/>
      <c r="M17" s="367">
        <v>2496146.1970761982</v>
      </c>
      <c r="N17" s="367"/>
      <c r="O17" s="367">
        <v>880684.89842496125</v>
      </c>
      <c r="P17" s="367"/>
      <c r="Q17" s="367"/>
      <c r="R17" s="367"/>
      <c r="S17" s="367">
        <v>3817173.5447136401</v>
      </c>
    </row>
    <row r="18" spans="1:19">
      <c r="A18" s="73">
        <v>11</v>
      </c>
      <c r="B18" s="6" t="s">
        <v>58</v>
      </c>
      <c r="C18" s="367"/>
      <c r="D18" s="367"/>
      <c r="E18" s="367"/>
      <c r="F18" s="367"/>
      <c r="G18" s="367"/>
      <c r="H18" s="367"/>
      <c r="I18" s="367"/>
      <c r="J18" s="367"/>
      <c r="K18" s="367"/>
      <c r="L18" s="367"/>
      <c r="M18" s="367"/>
      <c r="N18" s="367"/>
      <c r="O18" s="367"/>
      <c r="P18" s="367"/>
      <c r="Q18" s="367"/>
      <c r="R18" s="367"/>
      <c r="S18" s="367">
        <v>0</v>
      </c>
    </row>
    <row r="19" spans="1:19">
      <c r="A19" s="73">
        <v>12</v>
      </c>
      <c r="B19" s="6" t="s">
        <v>59</v>
      </c>
      <c r="C19" s="367"/>
      <c r="D19" s="367"/>
      <c r="E19" s="367"/>
      <c r="F19" s="367"/>
      <c r="G19" s="367"/>
      <c r="H19" s="367"/>
      <c r="I19" s="367"/>
      <c r="J19" s="367"/>
      <c r="K19" s="367"/>
      <c r="L19" s="367"/>
      <c r="M19" s="367"/>
      <c r="N19" s="367"/>
      <c r="O19" s="367"/>
      <c r="P19" s="367"/>
      <c r="Q19" s="367"/>
      <c r="R19" s="367"/>
      <c r="S19" s="367">
        <v>0</v>
      </c>
    </row>
    <row r="20" spans="1:19">
      <c r="A20" s="73">
        <v>13</v>
      </c>
      <c r="B20" s="6" t="s">
        <v>130</v>
      </c>
      <c r="C20" s="367"/>
      <c r="D20" s="367"/>
      <c r="E20" s="367"/>
      <c r="F20" s="367"/>
      <c r="G20" s="367"/>
      <c r="H20" s="367"/>
      <c r="I20" s="367"/>
      <c r="J20" s="367"/>
      <c r="K20" s="367"/>
      <c r="L20" s="367"/>
      <c r="M20" s="367"/>
      <c r="N20" s="367"/>
      <c r="O20" s="367"/>
      <c r="P20" s="367"/>
      <c r="Q20" s="367"/>
      <c r="R20" s="367"/>
      <c r="S20" s="367">
        <v>0</v>
      </c>
    </row>
    <row r="21" spans="1:19">
      <c r="A21" s="73">
        <v>14</v>
      </c>
      <c r="B21" s="6" t="s">
        <v>61</v>
      </c>
      <c r="C21" s="367">
        <v>22043931.521100003</v>
      </c>
      <c r="D21" s="367"/>
      <c r="E21" s="367"/>
      <c r="F21" s="367"/>
      <c r="G21" s="367"/>
      <c r="H21" s="367"/>
      <c r="I21" s="367"/>
      <c r="J21" s="367"/>
      <c r="K21" s="367"/>
      <c r="L21" s="367"/>
      <c r="M21" s="367">
        <v>38604247.33600001</v>
      </c>
      <c r="N21" s="367"/>
      <c r="O21" s="367"/>
      <c r="P21" s="367"/>
      <c r="Q21" s="367">
        <v>413945.62</v>
      </c>
      <c r="R21" s="367"/>
      <c r="S21" s="367">
        <v>39639111.386000007</v>
      </c>
    </row>
    <row r="22" spans="1:19" s="524" customFormat="1" ht="13.8" thickBot="1">
      <c r="A22" s="529"/>
      <c r="B22" s="75" t="s">
        <v>62</v>
      </c>
      <c r="C22" s="530">
        <f>SUM(C8:C21)</f>
        <v>27458539.161100004</v>
      </c>
      <c r="D22" s="530">
        <f t="shared" ref="D22:S22" si="0">SUM(D8:D21)</f>
        <v>0</v>
      </c>
      <c r="E22" s="530">
        <f t="shared" si="0"/>
        <v>2891297.51</v>
      </c>
      <c r="F22" s="530">
        <f t="shared" si="0"/>
        <v>0</v>
      </c>
      <c r="G22" s="530">
        <f t="shared" si="0"/>
        <v>0</v>
      </c>
      <c r="H22" s="530">
        <f t="shared" si="0"/>
        <v>0</v>
      </c>
      <c r="I22" s="530">
        <f t="shared" si="0"/>
        <v>1641685.9462999997</v>
      </c>
      <c r="J22" s="530">
        <f t="shared" si="0"/>
        <v>0</v>
      </c>
      <c r="K22" s="530">
        <f t="shared" si="0"/>
        <v>573393798.24760282</v>
      </c>
      <c r="L22" s="530">
        <f t="shared" si="0"/>
        <v>0</v>
      </c>
      <c r="M22" s="530">
        <f t="shared" si="0"/>
        <v>63067652.916876212</v>
      </c>
      <c r="N22" s="530">
        <f t="shared" si="0"/>
        <v>588133.35978999827</v>
      </c>
      <c r="O22" s="530">
        <f t="shared" si="0"/>
        <v>880684.89842496125</v>
      </c>
      <c r="P22" s="530">
        <f t="shared" si="0"/>
        <v>0</v>
      </c>
      <c r="Q22" s="530">
        <f t="shared" si="0"/>
        <v>413945.62</v>
      </c>
      <c r="R22" s="530">
        <f t="shared" si="0"/>
        <v>0</v>
      </c>
      <c r="S22" s="530">
        <f t="shared" si="0"/>
        <v>497456128.83515573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28"/>
  <sheetViews>
    <sheetView zoomScale="70" zoomScaleNormal="7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109375" style="9" bestFit="1" customWidth="1"/>
    <col min="2" max="2" width="63.77734375" style="9" bestFit="1" customWidth="1"/>
    <col min="3" max="3" width="19" style="9" customWidth="1"/>
    <col min="4" max="4" width="19.5546875" style="9" customWidth="1"/>
    <col min="5" max="5" width="31.21875" style="9" customWidth="1"/>
    <col min="6" max="6" width="29.21875" style="9" customWidth="1"/>
    <col min="7" max="7" width="28.5546875" style="9" customWidth="1"/>
    <col min="8" max="8" width="26.44140625" style="9" customWidth="1"/>
    <col min="9" max="9" width="23.77734375" style="9" customWidth="1"/>
    <col min="10" max="10" width="21.5546875" style="9" customWidth="1"/>
    <col min="11" max="11" width="15.77734375" style="9" customWidth="1"/>
    <col min="12" max="12" width="13.21875" style="9" customWidth="1"/>
    <col min="13" max="13" width="20.77734375" style="9" customWidth="1"/>
    <col min="14" max="14" width="19.21875" style="9" customWidth="1"/>
    <col min="15" max="15" width="18.44140625" style="9" customWidth="1"/>
    <col min="16" max="16" width="19" style="9" customWidth="1"/>
    <col min="17" max="17" width="20.21875" style="9" customWidth="1"/>
    <col min="18" max="18" width="18" style="9" customWidth="1"/>
    <col min="19" max="19" width="36" style="9" customWidth="1"/>
    <col min="20" max="20" width="26.21875" style="9" customWidth="1"/>
    <col min="21" max="21" width="24.77734375" style="9" customWidth="1"/>
    <col min="22" max="22" width="20" style="9" customWidth="1"/>
    <col min="23" max="16384" width="9.21875" style="25"/>
  </cols>
  <sheetData>
    <row r="1" spans="1:22">
      <c r="A1" s="506" t="s">
        <v>680</v>
      </c>
      <c r="B1" s="496" t="str">
        <f>'Info '!C2</f>
        <v>Crystal</v>
      </c>
    </row>
    <row r="2" spans="1:22">
      <c r="A2" s="66" t="s">
        <v>31</v>
      </c>
      <c r="B2" s="497">
        <f>'1. key ratios '!B2</f>
        <v>46112</v>
      </c>
    </row>
    <row r="4" spans="1:22" ht="13.8" thickBot="1">
      <c r="A4" s="9" t="s">
        <v>206</v>
      </c>
      <c r="B4" s="76" t="s">
        <v>49</v>
      </c>
      <c r="V4" s="26" t="s">
        <v>35</v>
      </c>
    </row>
    <row r="5" spans="1:22" ht="12.75" customHeight="1">
      <c r="A5" s="77"/>
      <c r="B5" s="78"/>
      <c r="C5" s="736" t="s">
        <v>142</v>
      </c>
      <c r="D5" s="737"/>
      <c r="E5" s="737"/>
      <c r="F5" s="737"/>
      <c r="G5" s="737"/>
      <c r="H5" s="737"/>
      <c r="I5" s="737"/>
      <c r="J5" s="737"/>
      <c r="K5" s="737"/>
      <c r="L5" s="738"/>
      <c r="M5" s="739" t="s">
        <v>143</v>
      </c>
      <c r="N5" s="740"/>
      <c r="O5" s="740"/>
      <c r="P5" s="740"/>
      <c r="Q5" s="740"/>
      <c r="R5" s="740"/>
      <c r="S5" s="741"/>
      <c r="T5" s="744" t="s">
        <v>204</v>
      </c>
      <c r="U5" s="744" t="s">
        <v>205</v>
      </c>
      <c r="V5" s="742" t="s">
        <v>70</v>
      </c>
    </row>
    <row r="6" spans="1:22" s="46" customFormat="1" ht="92.4">
      <c r="A6" s="44"/>
      <c r="B6" s="79"/>
      <c r="C6" s="80"/>
      <c r="D6" s="108" t="s">
        <v>63</v>
      </c>
      <c r="E6" s="91" t="s">
        <v>144</v>
      </c>
      <c r="F6" s="91"/>
      <c r="G6" s="108"/>
      <c r="H6" s="108"/>
      <c r="I6" s="108"/>
      <c r="J6" s="108" t="s">
        <v>64</v>
      </c>
      <c r="K6" s="81"/>
      <c r="L6" s="82"/>
      <c r="M6" s="80" t="s">
        <v>145</v>
      </c>
      <c r="N6" s="81" t="s">
        <v>65</v>
      </c>
      <c r="O6" s="81" t="s">
        <v>66</v>
      </c>
      <c r="P6" s="81" t="s">
        <v>67</v>
      </c>
      <c r="Q6" s="81" t="s">
        <v>68</v>
      </c>
      <c r="R6" s="81" t="s">
        <v>69</v>
      </c>
      <c r="S6" s="126" t="s">
        <v>146</v>
      </c>
      <c r="T6" s="745"/>
      <c r="U6" s="745"/>
      <c r="V6" s="743"/>
    </row>
    <row r="7" spans="1:22">
      <c r="A7" s="83">
        <v>1</v>
      </c>
      <c r="B7" s="6" t="s">
        <v>50</v>
      </c>
      <c r="C7" s="369"/>
      <c r="D7" s="367"/>
      <c r="E7" s="367"/>
      <c r="F7" s="367"/>
      <c r="G7" s="367"/>
      <c r="H7" s="367"/>
      <c r="I7" s="367"/>
      <c r="J7" s="367"/>
      <c r="K7" s="367"/>
      <c r="L7" s="370"/>
      <c r="M7" s="369"/>
      <c r="N7" s="367"/>
      <c r="O7" s="367"/>
      <c r="P7" s="367"/>
      <c r="Q7" s="367"/>
      <c r="R7" s="367"/>
      <c r="S7" s="370"/>
      <c r="T7" s="371"/>
      <c r="U7" s="371"/>
      <c r="V7" s="372">
        <f>SUM(C7:S7)</f>
        <v>0</v>
      </c>
    </row>
    <row r="8" spans="1:22">
      <c r="A8" s="83">
        <v>2</v>
      </c>
      <c r="B8" s="6" t="s">
        <v>51</v>
      </c>
      <c r="C8" s="369"/>
      <c r="D8" s="367"/>
      <c r="E8" s="367"/>
      <c r="F8" s="367"/>
      <c r="G8" s="367"/>
      <c r="H8" s="367"/>
      <c r="I8" s="367"/>
      <c r="J8" s="367"/>
      <c r="K8" s="367"/>
      <c r="L8" s="370"/>
      <c r="M8" s="369"/>
      <c r="N8" s="367"/>
      <c r="O8" s="367"/>
      <c r="P8" s="367"/>
      <c r="Q8" s="367"/>
      <c r="R8" s="367"/>
      <c r="S8" s="370"/>
      <c r="T8" s="371"/>
      <c r="U8" s="371"/>
      <c r="V8" s="372">
        <f t="shared" ref="V8:V20" si="0">SUM(C8:S8)</f>
        <v>0</v>
      </c>
    </row>
    <row r="9" spans="1:22">
      <c r="A9" s="83">
        <v>3</v>
      </c>
      <c r="B9" s="6" t="s">
        <v>139</v>
      </c>
      <c r="C9" s="369"/>
      <c r="D9" s="367"/>
      <c r="E9" s="367"/>
      <c r="F9" s="367"/>
      <c r="G9" s="367"/>
      <c r="H9" s="367"/>
      <c r="I9" s="367"/>
      <c r="J9" s="367"/>
      <c r="K9" s="367"/>
      <c r="L9" s="370"/>
      <c r="M9" s="369"/>
      <c r="N9" s="367"/>
      <c r="O9" s="367"/>
      <c r="P9" s="367"/>
      <c r="Q9" s="367"/>
      <c r="R9" s="367"/>
      <c r="S9" s="370"/>
      <c r="T9" s="371"/>
      <c r="U9" s="371"/>
      <c r="V9" s="372">
        <f t="shared" si="0"/>
        <v>0</v>
      </c>
    </row>
    <row r="10" spans="1:22">
      <c r="A10" s="83">
        <v>4</v>
      </c>
      <c r="B10" s="6" t="s">
        <v>52</v>
      </c>
      <c r="C10" s="369"/>
      <c r="D10" s="367"/>
      <c r="E10" s="367"/>
      <c r="F10" s="367"/>
      <c r="G10" s="367"/>
      <c r="H10" s="367"/>
      <c r="I10" s="367"/>
      <c r="J10" s="367"/>
      <c r="K10" s="367"/>
      <c r="L10" s="370"/>
      <c r="M10" s="369"/>
      <c r="N10" s="367"/>
      <c r="O10" s="367"/>
      <c r="P10" s="367"/>
      <c r="Q10" s="367"/>
      <c r="R10" s="367"/>
      <c r="S10" s="370"/>
      <c r="T10" s="371"/>
      <c r="U10" s="371"/>
      <c r="V10" s="372">
        <f t="shared" si="0"/>
        <v>0</v>
      </c>
    </row>
    <row r="11" spans="1:22">
      <c r="A11" s="83">
        <v>5</v>
      </c>
      <c r="B11" s="6" t="s">
        <v>53</v>
      </c>
      <c r="C11" s="369"/>
      <c r="D11" s="367"/>
      <c r="E11" s="367"/>
      <c r="F11" s="367"/>
      <c r="G11" s="367"/>
      <c r="H11" s="367"/>
      <c r="I11" s="367"/>
      <c r="J11" s="367"/>
      <c r="K11" s="367"/>
      <c r="L11" s="370"/>
      <c r="M11" s="369"/>
      <c r="N11" s="367"/>
      <c r="O11" s="367"/>
      <c r="P11" s="367"/>
      <c r="Q11" s="367"/>
      <c r="R11" s="367"/>
      <c r="S11" s="370"/>
      <c r="T11" s="371"/>
      <c r="U11" s="371"/>
      <c r="V11" s="372">
        <f t="shared" si="0"/>
        <v>0</v>
      </c>
    </row>
    <row r="12" spans="1:22">
      <c r="A12" s="83">
        <v>6</v>
      </c>
      <c r="B12" s="6" t="s">
        <v>687</v>
      </c>
      <c r="C12" s="369"/>
      <c r="D12" s="367"/>
      <c r="E12" s="367"/>
      <c r="F12" s="367"/>
      <c r="G12" s="367"/>
      <c r="H12" s="367"/>
      <c r="I12" s="367"/>
      <c r="J12" s="367"/>
      <c r="K12" s="367"/>
      <c r="L12" s="370"/>
      <c r="M12" s="369"/>
      <c r="N12" s="367"/>
      <c r="O12" s="367"/>
      <c r="P12" s="367"/>
      <c r="Q12" s="367"/>
      <c r="R12" s="367"/>
      <c r="S12" s="370"/>
      <c r="T12" s="371"/>
      <c r="U12" s="371"/>
      <c r="V12" s="372">
        <f t="shared" si="0"/>
        <v>0</v>
      </c>
    </row>
    <row r="13" spans="1:22">
      <c r="A13" s="83">
        <v>7</v>
      </c>
      <c r="B13" s="6" t="s">
        <v>54</v>
      </c>
      <c r="C13" s="369"/>
      <c r="D13" s="367"/>
      <c r="E13" s="367"/>
      <c r="F13" s="367"/>
      <c r="G13" s="367"/>
      <c r="H13" s="367"/>
      <c r="I13" s="367"/>
      <c r="J13" s="367"/>
      <c r="K13" s="367"/>
      <c r="L13" s="370"/>
      <c r="M13" s="369"/>
      <c r="N13" s="367"/>
      <c r="O13" s="367"/>
      <c r="P13" s="367"/>
      <c r="Q13" s="367"/>
      <c r="R13" s="367"/>
      <c r="S13" s="370"/>
      <c r="T13" s="371"/>
      <c r="U13" s="371"/>
      <c r="V13" s="372">
        <f t="shared" si="0"/>
        <v>0</v>
      </c>
    </row>
    <row r="14" spans="1:22">
      <c r="A14" s="83">
        <v>8</v>
      </c>
      <c r="B14" s="6" t="s">
        <v>55</v>
      </c>
      <c r="C14" s="369"/>
      <c r="D14" s="367"/>
      <c r="E14" s="367"/>
      <c r="F14" s="367"/>
      <c r="G14" s="367"/>
      <c r="H14" s="367"/>
      <c r="I14" s="367"/>
      <c r="J14" s="367"/>
      <c r="K14" s="367"/>
      <c r="L14" s="370"/>
      <c r="M14" s="369"/>
      <c r="N14" s="367"/>
      <c r="O14" s="367"/>
      <c r="P14" s="367"/>
      <c r="Q14" s="367"/>
      <c r="R14" s="367"/>
      <c r="S14" s="370"/>
      <c r="T14" s="371"/>
      <c r="U14" s="371"/>
      <c r="V14" s="372">
        <f t="shared" si="0"/>
        <v>0</v>
      </c>
    </row>
    <row r="15" spans="1:22">
      <c r="A15" s="83">
        <v>9</v>
      </c>
      <c r="B15" s="6" t="s">
        <v>56</v>
      </c>
      <c r="C15" s="369"/>
      <c r="D15" s="367"/>
      <c r="E15" s="367"/>
      <c r="F15" s="367"/>
      <c r="G15" s="367"/>
      <c r="H15" s="367"/>
      <c r="I15" s="367"/>
      <c r="J15" s="367"/>
      <c r="K15" s="367"/>
      <c r="L15" s="370"/>
      <c r="M15" s="369"/>
      <c r="N15" s="367"/>
      <c r="O15" s="367"/>
      <c r="P15" s="367"/>
      <c r="Q15" s="367"/>
      <c r="R15" s="367"/>
      <c r="S15" s="370"/>
      <c r="T15" s="371"/>
      <c r="U15" s="371"/>
      <c r="V15" s="372">
        <f t="shared" si="0"/>
        <v>0</v>
      </c>
    </row>
    <row r="16" spans="1:22">
      <c r="A16" s="83">
        <v>10</v>
      </c>
      <c r="B16" s="6" t="s">
        <v>57</v>
      </c>
      <c r="C16" s="369"/>
      <c r="D16" s="367"/>
      <c r="E16" s="367"/>
      <c r="F16" s="367"/>
      <c r="G16" s="367"/>
      <c r="H16" s="367"/>
      <c r="I16" s="367"/>
      <c r="J16" s="367"/>
      <c r="K16" s="367"/>
      <c r="L16" s="370"/>
      <c r="M16" s="369"/>
      <c r="N16" s="367"/>
      <c r="O16" s="367"/>
      <c r="P16" s="367"/>
      <c r="Q16" s="367"/>
      <c r="R16" s="367"/>
      <c r="S16" s="370"/>
      <c r="T16" s="371"/>
      <c r="U16" s="371"/>
      <c r="V16" s="372">
        <f t="shared" si="0"/>
        <v>0</v>
      </c>
    </row>
    <row r="17" spans="1:22">
      <c r="A17" s="83">
        <v>11</v>
      </c>
      <c r="B17" s="6" t="s">
        <v>58</v>
      </c>
      <c r="C17" s="369"/>
      <c r="D17" s="367"/>
      <c r="E17" s="367"/>
      <c r="F17" s="367"/>
      <c r="G17" s="367"/>
      <c r="H17" s="367"/>
      <c r="I17" s="367"/>
      <c r="J17" s="367"/>
      <c r="K17" s="367"/>
      <c r="L17" s="370"/>
      <c r="M17" s="369"/>
      <c r="N17" s="367"/>
      <c r="O17" s="367"/>
      <c r="P17" s="367"/>
      <c r="Q17" s="367"/>
      <c r="R17" s="367"/>
      <c r="S17" s="370"/>
      <c r="T17" s="371"/>
      <c r="U17" s="371"/>
      <c r="V17" s="372">
        <f t="shared" si="0"/>
        <v>0</v>
      </c>
    </row>
    <row r="18" spans="1:22">
      <c r="A18" s="83">
        <v>12</v>
      </c>
      <c r="B18" s="6" t="s">
        <v>59</v>
      </c>
      <c r="C18" s="369"/>
      <c r="D18" s="367"/>
      <c r="E18" s="367"/>
      <c r="F18" s="367"/>
      <c r="G18" s="367"/>
      <c r="H18" s="367"/>
      <c r="I18" s="367"/>
      <c r="J18" s="367"/>
      <c r="K18" s="367"/>
      <c r="L18" s="370"/>
      <c r="M18" s="369"/>
      <c r="N18" s="367"/>
      <c r="O18" s="367"/>
      <c r="P18" s="367"/>
      <c r="Q18" s="367"/>
      <c r="R18" s="367"/>
      <c r="S18" s="370"/>
      <c r="T18" s="371"/>
      <c r="U18" s="371"/>
      <c r="V18" s="372">
        <f t="shared" si="0"/>
        <v>0</v>
      </c>
    </row>
    <row r="19" spans="1:22">
      <c r="A19" s="83">
        <v>13</v>
      </c>
      <c r="B19" s="6" t="s">
        <v>60</v>
      </c>
      <c r="C19" s="369"/>
      <c r="D19" s="367"/>
      <c r="E19" s="367"/>
      <c r="F19" s="367"/>
      <c r="G19" s="367"/>
      <c r="H19" s="367"/>
      <c r="I19" s="367"/>
      <c r="J19" s="367"/>
      <c r="K19" s="367"/>
      <c r="L19" s="370"/>
      <c r="M19" s="369"/>
      <c r="N19" s="367"/>
      <c r="O19" s="367"/>
      <c r="P19" s="367"/>
      <c r="Q19" s="367"/>
      <c r="R19" s="367"/>
      <c r="S19" s="370"/>
      <c r="T19" s="371"/>
      <c r="U19" s="371"/>
      <c r="V19" s="372">
        <f t="shared" si="0"/>
        <v>0</v>
      </c>
    </row>
    <row r="20" spans="1:22">
      <c r="A20" s="83">
        <v>14</v>
      </c>
      <c r="B20" s="6" t="s">
        <v>61</v>
      </c>
      <c r="C20" s="369"/>
      <c r="D20" s="367"/>
      <c r="E20" s="367"/>
      <c r="F20" s="367"/>
      <c r="G20" s="367"/>
      <c r="H20" s="367"/>
      <c r="I20" s="367"/>
      <c r="J20" s="367"/>
      <c r="K20" s="367"/>
      <c r="L20" s="370"/>
      <c r="M20" s="369"/>
      <c r="N20" s="367"/>
      <c r="O20" s="367"/>
      <c r="P20" s="367"/>
      <c r="Q20" s="367"/>
      <c r="R20" s="367"/>
      <c r="S20" s="370"/>
      <c r="T20" s="371"/>
      <c r="U20" s="371"/>
      <c r="V20" s="372">
        <f t="shared" si="0"/>
        <v>0</v>
      </c>
    </row>
    <row r="21" spans="1:22" ht="13.8" thickBot="1">
      <c r="A21" s="74"/>
      <c r="B21" s="84" t="s">
        <v>62</v>
      </c>
      <c r="C21" s="373">
        <f>SUM(C7:C20)</f>
        <v>0</v>
      </c>
      <c r="D21" s="368">
        <f t="shared" ref="D21:V21" si="1">SUM(D7:D20)</f>
        <v>0</v>
      </c>
      <c r="E21" s="368">
        <f t="shared" si="1"/>
        <v>0</v>
      </c>
      <c r="F21" s="368">
        <f t="shared" si="1"/>
        <v>0</v>
      </c>
      <c r="G21" s="368">
        <f t="shared" si="1"/>
        <v>0</v>
      </c>
      <c r="H21" s="368">
        <f t="shared" si="1"/>
        <v>0</v>
      </c>
      <c r="I21" s="368">
        <f t="shared" si="1"/>
        <v>0</v>
      </c>
      <c r="J21" s="368">
        <f t="shared" si="1"/>
        <v>0</v>
      </c>
      <c r="K21" s="368">
        <f t="shared" si="1"/>
        <v>0</v>
      </c>
      <c r="L21" s="374">
        <f t="shared" si="1"/>
        <v>0</v>
      </c>
      <c r="M21" s="373">
        <f t="shared" si="1"/>
        <v>0</v>
      </c>
      <c r="N21" s="368">
        <f t="shared" si="1"/>
        <v>0</v>
      </c>
      <c r="O21" s="368">
        <f t="shared" si="1"/>
        <v>0</v>
      </c>
      <c r="P21" s="368">
        <f t="shared" si="1"/>
        <v>0</v>
      </c>
      <c r="Q21" s="368">
        <f t="shared" si="1"/>
        <v>0</v>
      </c>
      <c r="R21" s="368">
        <f t="shared" si="1"/>
        <v>0</v>
      </c>
      <c r="S21" s="374">
        <f>SUM(S7:S20)</f>
        <v>0</v>
      </c>
      <c r="T21" s="374">
        <f>SUM(T7:T20)</f>
        <v>0</v>
      </c>
      <c r="U21" s="374">
        <f t="shared" ref="U21" si="2">SUM(U7:U20)</f>
        <v>0</v>
      </c>
      <c r="V21" s="375">
        <f t="shared" si="1"/>
        <v>0</v>
      </c>
    </row>
    <row r="24" spans="1:22">
      <c r="C24" s="32"/>
      <c r="D24" s="32"/>
      <c r="E24" s="32"/>
    </row>
    <row r="25" spans="1:22">
      <c r="A25" s="43"/>
      <c r="B25" s="43"/>
      <c r="D25" s="32"/>
      <c r="E25" s="32"/>
    </row>
    <row r="26" spans="1:22">
      <c r="A26" s="43"/>
      <c r="B26" s="33"/>
      <c r="D26" s="32"/>
      <c r="E26" s="32"/>
    </row>
    <row r="27" spans="1:22">
      <c r="A27" s="43"/>
      <c r="B27" s="43"/>
      <c r="D27" s="32"/>
      <c r="E27" s="32"/>
    </row>
    <row r="28" spans="1:22">
      <c r="A28" s="43"/>
      <c r="B28" s="33"/>
      <c r="D28" s="32"/>
      <c r="E28" s="32"/>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22"/>
  <sheetViews>
    <sheetView zoomScale="80" zoomScaleNormal="80" workbookViewId="0">
      <pane xSplit="2" ySplit="7" topLeftCell="C8" activePane="bottomRight" state="frozen"/>
      <selection activeCell="B42" sqref="B42"/>
      <selection pane="topRight" activeCell="B42" sqref="B42"/>
      <selection pane="bottomLeft" activeCell="B42" sqref="B42"/>
      <selection pane="bottomRight" activeCell="C22" sqref="C22:G22"/>
    </sheetView>
  </sheetViews>
  <sheetFormatPr defaultColWidth="9.21875" defaultRowHeight="13.8"/>
  <cols>
    <col min="1" max="1" width="10.6640625" style="9" bestFit="1" customWidth="1"/>
    <col min="2" max="2" width="101.77734375" style="9" customWidth="1"/>
    <col min="3" max="3" width="13.77734375" style="113" customWidth="1"/>
    <col min="4" max="4" width="14.77734375" style="113" bestFit="1" customWidth="1"/>
    <col min="5" max="5" width="17.77734375" style="113" customWidth="1"/>
    <col min="6" max="6" width="15.77734375" style="113" customWidth="1"/>
    <col min="7" max="7" width="17.44140625" style="113" customWidth="1"/>
    <col min="8" max="8" width="15.21875" style="113" customWidth="1"/>
    <col min="9" max="16384" width="9.21875" style="25"/>
  </cols>
  <sheetData>
    <row r="1" spans="1:9">
      <c r="A1" s="506" t="s">
        <v>680</v>
      </c>
      <c r="B1" s="508" t="str">
        <f>'Info '!C2</f>
        <v>Crystal</v>
      </c>
      <c r="C1" s="8"/>
    </row>
    <row r="2" spans="1:9">
      <c r="A2" s="66" t="s">
        <v>31</v>
      </c>
      <c r="B2" s="497">
        <f>'1. key ratios '!B2</f>
        <v>46112</v>
      </c>
      <c r="C2" s="208"/>
    </row>
    <row r="4" spans="1:9" ht="14.4" thickBot="1">
      <c r="A4" s="7" t="s">
        <v>136</v>
      </c>
      <c r="B4" s="76" t="s">
        <v>215</v>
      </c>
    </row>
    <row r="5" spans="1:9">
      <c r="A5" s="77"/>
      <c r="B5" s="85"/>
      <c r="C5" s="134" t="s">
        <v>0</v>
      </c>
      <c r="D5" s="134" t="s">
        <v>1</v>
      </c>
      <c r="E5" s="134" t="s">
        <v>2</v>
      </c>
      <c r="F5" s="134" t="s">
        <v>3</v>
      </c>
      <c r="G5" s="135" t="s">
        <v>4</v>
      </c>
      <c r="H5" s="136" t="s">
        <v>6</v>
      </c>
      <c r="I5" s="86"/>
    </row>
    <row r="6" spans="1:9" s="86" customFormat="1" ht="12.75" customHeight="1">
      <c r="A6" s="87"/>
      <c r="B6" s="748" t="s">
        <v>135</v>
      </c>
      <c r="C6" s="734" t="s">
        <v>208</v>
      </c>
      <c r="D6" s="750" t="s">
        <v>207</v>
      </c>
      <c r="E6" s="751"/>
      <c r="F6" s="734" t="s">
        <v>212</v>
      </c>
      <c r="G6" s="734" t="s">
        <v>213</v>
      </c>
      <c r="H6" s="746" t="s">
        <v>211</v>
      </c>
    </row>
    <row r="7" spans="1:9" ht="41.4">
      <c r="A7" s="89"/>
      <c r="B7" s="749"/>
      <c r="C7" s="735"/>
      <c r="D7" s="137" t="s">
        <v>210</v>
      </c>
      <c r="E7" s="137" t="s">
        <v>209</v>
      </c>
      <c r="F7" s="735"/>
      <c r="G7" s="735"/>
      <c r="H7" s="747"/>
      <c r="I7" s="86"/>
    </row>
    <row r="8" spans="1:9">
      <c r="A8" s="87">
        <v>1</v>
      </c>
      <c r="B8" s="6" t="s">
        <v>50</v>
      </c>
      <c r="C8" s="376">
        <v>27005099.023800001</v>
      </c>
      <c r="D8" s="376"/>
      <c r="E8" s="376"/>
      <c r="F8" s="376">
        <v>21590491.3838</v>
      </c>
      <c r="G8" s="377">
        <v>21590491.3838</v>
      </c>
      <c r="H8" s="138">
        <f>IFERROR(G8/(C8+E8),"")</f>
        <v>0.79949684186575187</v>
      </c>
    </row>
    <row r="9" spans="1:9" ht="15" customHeight="1">
      <c r="A9" s="87">
        <v>2</v>
      </c>
      <c r="B9" s="6" t="s">
        <v>51</v>
      </c>
      <c r="C9" s="376"/>
      <c r="D9" s="376"/>
      <c r="E9" s="376"/>
      <c r="F9" s="376"/>
      <c r="G9" s="377"/>
      <c r="H9" s="138" t="str">
        <f t="shared" ref="H9:H22" si="0">IFERROR(G9/(C9+E9),"")</f>
        <v/>
      </c>
    </row>
    <row r="10" spans="1:9">
      <c r="A10" s="87">
        <v>3</v>
      </c>
      <c r="B10" s="6" t="s">
        <v>139</v>
      </c>
      <c r="C10" s="376"/>
      <c r="D10" s="376"/>
      <c r="E10" s="376"/>
      <c r="F10" s="376"/>
      <c r="G10" s="377"/>
      <c r="H10" s="138" t="str">
        <f t="shared" si="0"/>
        <v/>
      </c>
    </row>
    <row r="11" spans="1:9">
      <c r="A11" s="87">
        <v>4</v>
      </c>
      <c r="B11" s="6" t="s">
        <v>52</v>
      </c>
      <c r="C11" s="376"/>
      <c r="D11" s="376"/>
      <c r="E11" s="376"/>
      <c r="F11" s="376"/>
      <c r="G11" s="377"/>
      <c r="H11" s="138" t="str">
        <f t="shared" si="0"/>
        <v/>
      </c>
    </row>
    <row r="12" spans="1:9">
      <c r="A12" s="87">
        <v>5</v>
      </c>
      <c r="B12" s="6" t="s">
        <v>53</v>
      </c>
      <c r="C12" s="376"/>
      <c r="D12" s="376"/>
      <c r="E12" s="376"/>
      <c r="F12" s="376"/>
      <c r="G12" s="377"/>
      <c r="H12" s="138" t="str">
        <f t="shared" si="0"/>
        <v/>
      </c>
    </row>
    <row r="13" spans="1:9">
      <c r="A13" s="87">
        <v>6</v>
      </c>
      <c r="B13" s="6" t="s">
        <v>687</v>
      </c>
      <c r="C13" s="376">
        <v>4909751.4562999997</v>
      </c>
      <c r="D13" s="376"/>
      <c r="E13" s="376"/>
      <c r="F13" s="376">
        <v>1775870.4751499998</v>
      </c>
      <c r="G13" s="377">
        <v>1775870.4751499998</v>
      </c>
      <c r="H13" s="138">
        <f t="shared" si="0"/>
        <v>0.36170272384588281</v>
      </c>
    </row>
    <row r="14" spans="1:9">
      <c r="A14" s="87">
        <v>7</v>
      </c>
      <c r="B14" s="6" t="s">
        <v>54</v>
      </c>
      <c r="C14" s="376"/>
      <c r="D14" s="376"/>
      <c r="E14" s="376"/>
      <c r="F14" s="376"/>
      <c r="G14" s="377"/>
      <c r="H14" s="138" t="str">
        <f t="shared" si="0"/>
        <v/>
      </c>
    </row>
    <row r="15" spans="1:9">
      <c r="A15" s="87">
        <v>8</v>
      </c>
      <c r="B15" s="6" t="s">
        <v>55</v>
      </c>
      <c r="C15" s="376">
        <v>573393798.24760282</v>
      </c>
      <c r="D15" s="376">
        <v>2432766.9082999914</v>
      </c>
      <c r="E15" s="376">
        <v>588133.35978999827</v>
      </c>
      <c r="F15" s="376">
        <v>430045348.68570209</v>
      </c>
      <c r="G15" s="377">
        <v>430045348.68570209</v>
      </c>
      <c r="H15" s="138">
        <f t="shared" si="0"/>
        <v>0.7492315088758853</v>
      </c>
    </row>
    <row r="16" spans="1:9">
      <c r="A16" s="87">
        <v>9</v>
      </c>
      <c r="B16" s="6" t="s">
        <v>56</v>
      </c>
      <c r="C16" s="376"/>
      <c r="D16" s="376"/>
      <c r="E16" s="376"/>
      <c r="F16" s="376"/>
      <c r="G16" s="377"/>
      <c r="H16" s="138" t="str">
        <f t="shared" si="0"/>
        <v/>
      </c>
    </row>
    <row r="17" spans="1:8">
      <c r="A17" s="87">
        <v>10</v>
      </c>
      <c r="B17" s="6" t="s">
        <v>57</v>
      </c>
      <c r="C17" s="376">
        <v>3376831.0955011593</v>
      </c>
      <c r="D17" s="376"/>
      <c r="E17" s="376"/>
      <c r="F17" s="376">
        <v>3817173.5447136401</v>
      </c>
      <c r="G17" s="377">
        <v>3817173.5447136401</v>
      </c>
      <c r="H17" s="138">
        <f t="shared" si="0"/>
        <v>1.1304010881086515</v>
      </c>
    </row>
    <row r="18" spans="1:8">
      <c r="A18" s="87">
        <v>11</v>
      </c>
      <c r="B18" s="6" t="s">
        <v>58</v>
      </c>
      <c r="C18" s="376"/>
      <c r="D18" s="376"/>
      <c r="E18" s="376"/>
      <c r="F18" s="376"/>
      <c r="G18" s="377"/>
      <c r="H18" s="138" t="str">
        <f t="shared" si="0"/>
        <v/>
      </c>
    </row>
    <row r="19" spans="1:8">
      <c r="A19" s="87">
        <v>12</v>
      </c>
      <c r="B19" s="6" t="s">
        <v>59</v>
      </c>
      <c r="C19" s="376"/>
      <c r="D19" s="376"/>
      <c r="E19" s="376"/>
      <c r="F19" s="376"/>
      <c r="G19" s="377"/>
      <c r="H19" s="138" t="str">
        <f t="shared" si="0"/>
        <v/>
      </c>
    </row>
    <row r="20" spans="1:8">
      <c r="A20" s="87">
        <v>13</v>
      </c>
      <c r="B20" s="6" t="s">
        <v>130</v>
      </c>
      <c r="C20" s="376"/>
      <c r="D20" s="376"/>
      <c r="E20" s="376"/>
      <c r="F20" s="376"/>
      <c r="G20" s="377"/>
      <c r="H20" s="138" t="str">
        <f t="shared" si="0"/>
        <v/>
      </c>
    </row>
    <row r="21" spans="1:8">
      <c r="A21" s="87">
        <v>14</v>
      </c>
      <c r="B21" s="6" t="s">
        <v>61</v>
      </c>
      <c r="C21" s="376">
        <v>61062124.477100015</v>
      </c>
      <c r="D21" s="376"/>
      <c r="E21" s="376"/>
      <c r="F21" s="376">
        <v>39639111.386000015</v>
      </c>
      <c r="G21" s="377">
        <v>39639111.386000015</v>
      </c>
      <c r="H21" s="138">
        <f t="shared" si="0"/>
        <v>0.64916037110477176</v>
      </c>
    </row>
    <row r="22" spans="1:8" s="524" customFormat="1" ht="14.4" thickBot="1">
      <c r="A22" s="301"/>
      <c r="B22" s="90" t="s">
        <v>62</v>
      </c>
      <c r="C22" s="527">
        <f>SUM(C8:C21)</f>
        <v>669747604.30030406</v>
      </c>
      <c r="D22" s="527">
        <f>SUM(D8:D21)</f>
        <v>2432766.9082999914</v>
      </c>
      <c r="E22" s="527">
        <f>SUM(E8:E21)</f>
        <v>588133.35978999827</v>
      </c>
      <c r="F22" s="527">
        <f>SUM(F8:F21)</f>
        <v>496867995.47536576</v>
      </c>
      <c r="G22" s="527">
        <f>SUM(G8:G21)</f>
        <v>496867995.47536576</v>
      </c>
      <c r="H22" s="528">
        <f t="shared" si="0"/>
        <v>0.7412225957245796</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7"/>
  <sheetViews>
    <sheetView zoomScale="80" zoomScaleNormal="80" workbookViewId="0">
      <pane xSplit="2" ySplit="6" topLeftCell="C7" activePane="bottomRight" state="frozen"/>
      <selection activeCell="B42" sqref="B42"/>
      <selection pane="topRight" activeCell="B42" sqref="B42"/>
      <selection pane="bottomLeft" activeCell="B42" sqref="B42"/>
      <selection pane="bottomRight" activeCell="F23" sqref="F23:K25"/>
    </sheetView>
  </sheetViews>
  <sheetFormatPr defaultColWidth="9.21875" defaultRowHeight="13.8"/>
  <cols>
    <col min="1" max="1" width="10.5546875" style="113" bestFit="1" customWidth="1"/>
    <col min="2" max="2" width="104.21875" style="113" customWidth="1"/>
    <col min="3" max="3" width="14.5546875" style="113" customWidth="1"/>
    <col min="4" max="4" width="14.33203125" style="113" customWidth="1"/>
    <col min="5" max="5" width="14.21875" style="113" customWidth="1"/>
    <col min="6" max="11" width="12.77734375" style="113" customWidth="1"/>
    <col min="12" max="16384" width="9.21875" style="113"/>
  </cols>
  <sheetData>
    <row r="1" spans="1:11">
      <c r="A1" s="509" t="s">
        <v>680</v>
      </c>
      <c r="B1" s="511" t="str">
        <f>'Info '!C2</f>
        <v>Crystal</v>
      </c>
    </row>
    <row r="2" spans="1:11">
      <c r="A2" s="510" t="s">
        <v>31</v>
      </c>
      <c r="B2" s="512">
        <f>'1. key ratios '!B2</f>
        <v>46112</v>
      </c>
    </row>
    <row r="4" spans="1:11" ht="14.4" thickBot="1">
      <c r="A4" s="113" t="s">
        <v>132</v>
      </c>
      <c r="B4" s="167" t="s">
        <v>216</v>
      </c>
    </row>
    <row r="5" spans="1:11" ht="30" customHeight="1">
      <c r="A5" s="752"/>
      <c r="B5" s="753"/>
      <c r="C5" s="754" t="s">
        <v>261</v>
      </c>
      <c r="D5" s="754"/>
      <c r="E5" s="754"/>
      <c r="F5" s="754" t="s">
        <v>262</v>
      </c>
      <c r="G5" s="754"/>
      <c r="H5" s="754"/>
      <c r="I5" s="754" t="s">
        <v>263</v>
      </c>
      <c r="J5" s="754"/>
      <c r="K5" s="755"/>
    </row>
    <row r="6" spans="1:11">
      <c r="A6" s="146"/>
      <c r="B6" s="147"/>
      <c r="C6" s="378" t="s">
        <v>32</v>
      </c>
      <c r="D6" s="378" t="s">
        <v>33</v>
      </c>
      <c r="E6" s="378" t="s">
        <v>34</v>
      </c>
      <c r="F6" s="378" t="s">
        <v>32</v>
      </c>
      <c r="G6" s="378" t="s">
        <v>33</v>
      </c>
      <c r="H6" s="378" t="s">
        <v>34</v>
      </c>
      <c r="I6" s="378" t="s">
        <v>32</v>
      </c>
      <c r="J6" s="378" t="s">
        <v>33</v>
      </c>
      <c r="K6" s="378" t="s">
        <v>34</v>
      </c>
    </row>
    <row r="7" spans="1:11">
      <c r="A7" s="148" t="s">
        <v>219</v>
      </c>
      <c r="B7" s="149"/>
      <c r="C7" s="149"/>
      <c r="D7" s="149"/>
      <c r="E7" s="149"/>
      <c r="F7" s="149"/>
      <c r="G7" s="149"/>
      <c r="H7" s="149"/>
      <c r="I7" s="149"/>
      <c r="J7" s="149"/>
      <c r="K7" s="150"/>
    </row>
    <row r="8" spans="1:11">
      <c r="A8" s="151">
        <v>1</v>
      </c>
      <c r="B8" s="152" t="s">
        <v>217</v>
      </c>
      <c r="C8" s="616"/>
      <c r="D8" s="616"/>
      <c r="E8" s="616"/>
      <c r="F8" s="617">
        <v>18347495.939040039</v>
      </c>
      <c r="G8" s="617">
        <v>37153387.07378117</v>
      </c>
      <c r="H8" s="618">
        <v>55500883.012821212</v>
      </c>
      <c r="I8" s="617">
        <v>16543565.892373374</v>
      </c>
      <c r="J8" s="617">
        <v>28923188.096814509</v>
      </c>
      <c r="K8" s="619">
        <v>45466753.989187881</v>
      </c>
    </row>
    <row r="9" spans="1:11">
      <c r="A9" s="148" t="s">
        <v>220</v>
      </c>
      <c r="B9" s="149"/>
      <c r="C9" s="620"/>
      <c r="D9" s="620"/>
      <c r="E9" s="620"/>
      <c r="F9" s="620"/>
      <c r="G9" s="620"/>
      <c r="H9" s="620"/>
      <c r="I9" s="620"/>
      <c r="J9" s="620"/>
      <c r="K9" s="621"/>
    </row>
    <row r="10" spans="1:11">
      <c r="A10" s="154">
        <v>2</v>
      </c>
      <c r="B10" s="155" t="s">
        <v>228</v>
      </c>
      <c r="C10" s="590">
        <v>41757243.110000007</v>
      </c>
      <c r="D10" s="617">
        <v>28036694.773866668</v>
      </c>
      <c r="E10" s="618">
        <v>69793937.883866668</v>
      </c>
      <c r="F10" s="617">
        <v>6199421.5712666661</v>
      </c>
      <c r="G10" s="617">
        <v>4955363.231980334</v>
      </c>
      <c r="H10" s="618">
        <v>11154784.803247001</v>
      </c>
      <c r="I10" s="617">
        <v>1195444.0081666668</v>
      </c>
      <c r="J10" s="617">
        <v>823562.48610166681</v>
      </c>
      <c r="K10" s="619">
        <v>2019006.4942683335</v>
      </c>
    </row>
    <row r="11" spans="1:11">
      <c r="A11" s="154">
        <v>3</v>
      </c>
      <c r="B11" s="155" t="s">
        <v>222</v>
      </c>
      <c r="C11" s="590">
        <v>205101986.84333333</v>
      </c>
      <c r="D11" s="617">
        <v>253033110.21660003</v>
      </c>
      <c r="E11" s="618">
        <v>458135097.05993336</v>
      </c>
      <c r="F11" s="617">
        <v>4675174.862916667</v>
      </c>
      <c r="G11" s="617">
        <v>15224113.646765001</v>
      </c>
      <c r="H11" s="618">
        <v>19899288.509681668</v>
      </c>
      <c r="I11" s="617">
        <v>4644792.1766666658</v>
      </c>
      <c r="J11" s="617">
        <v>15224111.86345</v>
      </c>
      <c r="K11" s="619">
        <v>19868904.040116668</v>
      </c>
    </row>
    <row r="12" spans="1:11">
      <c r="A12" s="154">
        <v>4</v>
      </c>
      <c r="B12" s="155" t="s">
        <v>223</v>
      </c>
      <c r="C12" s="590">
        <v>0</v>
      </c>
      <c r="D12" s="617">
        <v>0</v>
      </c>
      <c r="E12" s="618">
        <v>0</v>
      </c>
      <c r="F12" s="617">
        <v>0</v>
      </c>
      <c r="G12" s="617">
        <v>0</v>
      </c>
      <c r="H12" s="618">
        <v>0</v>
      </c>
      <c r="I12" s="617">
        <v>0</v>
      </c>
      <c r="J12" s="617">
        <v>0</v>
      </c>
      <c r="K12" s="619">
        <v>0</v>
      </c>
    </row>
    <row r="13" spans="1:11">
      <c r="A13" s="154">
        <v>5</v>
      </c>
      <c r="B13" s="155" t="s">
        <v>231</v>
      </c>
      <c r="C13" s="590">
        <v>22986258.620000001</v>
      </c>
      <c r="D13" s="617">
        <v>42545.025199999996</v>
      </c>
      <c r="E13" s="618">
        <v>23028803.645199999</v>
      </c>
      <c r="F13" s="617">
        <v>4501472.3566666665</v>
      </c>
      <c r="G13" s="617">
        <v>8410.5693200000005</v>
      </c>
      <c r="H13" s="618">
        <v>4509882.9259866662</v>
      </c>
      <c r="I13" s="617">
        <v>4135709.7166666673</v>
      </c>
      <c r="J13" s="617">
        <v>2102.6423300000001</v>
      </c>
      <c r="K13" s="619">
        <v>4137812.3589966674</v>
      </c>
    </row>
    <row r="14" spans="1:11">
      <c r="A14" s="154">
        <v>6</v>
      </c>
      <c r="B14" s="155" t="s">
        <v>258</v>
      </c>
      <c r="C14" s="590">
        <v>0</v>
      </c>
      <c r="D14" s="617">
        <v>0</v>
      </c>
      <c r="E14" s="618">
        <v>0</v>
      </c>
      <c r="F14" s="617">
        <v>0</v>
      </c>
      <c r="G14" s="617">
        <v>0</v>
      </c>
      <c r="H14" s="618">
        <v>0</v>
      </c>
      <c r="I14" s="617">
        <v>0</v>
      </c>
      <c r="J14" s="617">
        <v>0</v>
      </c>
      <c r="K14" s="619">
        <v>0</v>
      </c>
    </row>
    <row r="15" spans="1:11">
      <c r="A15" s="154">
        <v>7</v>
      </c>
      <c r="B15" s="155" t="s">
        <v>259</v>
      </c>
      <c r="C15" s="590">
        <v>1427109.3533333335</v>
      </c>
      <c r="D15" s="617">
        <v>729.22890000000007</v>
      </c>
      <c r="E15" s="618">
        <v>1427838.5822333335</v>
      </c>
      <c r="F15" s="617">
        <v>642335.63333333342</v>
      </c>
      <c r="G15" s="617">
        <v>729.22890000000007</v>
      </c>
      <c r="H15" s="618">
        <v>643064.86223333341</v>
      </c>
      <c r="I15" s="617">
        <v>642335.63333333342</v>
      </c>
      <c r="J15" s="617">
        <v>729.22890000000007</v>
      </c>
      <c r="K15" s="619">
        <v>643064.86223333341</v>
      </c>
    </row>
    <row r="16" spans="1:11">
      <c r="A16" s="154">
        <v>8</v>
      </c>
      <c r="B16" s="156" t="s">
        <v>224</v>
      </c>
      <c r="C16" s="622">
        <v>271272597.92666668</v>
      </c>
      <c r="D16" s="618">
        <v>281113079.24456674</v>
      </c>
      <c r="E16" s="618">
        <v>552385677.1712333</v>
      </c>
      <c r="F16" s="618">
        <v>16018404.424183331</v>
      </c>
      <c r="G16" s="618">
        <v>20188616.676965337</v>
      </c>
      <c r="H16" s="618">
        <v>36207021.101148672</v>
      </c>
      <c r="I16" s="618">
        <v>10618281.534833333</v>
      </c>
      <c r="J16" s="618">
        <v>16050506.220781667</v>
      </c>
      <c r="K16" s="619">
        <v>26668787.755615003</v>
      </c>
    </row>
    <row r="17" spans="1:11">
      <c r="A17" s="148" t="s">
        <v>221</v>
      </c>
      <c r="B17" s="149"/>
      <c r="C17" s="623"/>
      <c r="D17" s="623"/>
      <c r="E17" s="623"/>
      <c r="F17" s="623"/>
      <c r="G17" s="623"/>
      <c r="H17" s="623"/>
      <c r="I17" s="623"/>
      <c r="J17" s="623"/>
      <c r="K17" s="624"/>
    </row>
    <row r="18" spans="1:11">
      <c r="A18" s="154">
        <v>9</v>
      </c>
      <c r="B18" s="155" t="s">
        <v>227</v>
      </c>
      <c r="C18" s="590">
        <v>0</v>
      </c>
      <c r="D18" s="617">
        <v>0</v>
      </c>
      <c r="E18" s="618">
        <v>0</v>
      </c>
      <c r="F18" s="617">
        <v>0</v>
      </c>
      <c r="G18" s="617">
        <v>0</v>
      </c>
      <c r="H18" s="618">
        <v>0</v>
      </c>
      <c r="I18" s="617">
        <v>0</v>
      </c>
      <c r="J18" s="617">
        <v>0</v>
      </c>
      <c r="K18" s="603">
        <v>0</v>
      </c>
    </row>
    <row r="19" spans="1:11">
      <c r="A19" s="154">
        <v>10</v>
      </c>
      <c r="B19" s="155" t="s">
        <v>260</v>
      </c>
      <c r="C19" s="590">
        <v>542203116.23450148</v>
      </c>
      <c r="D19" s="617">
        <v>5916642.8966333345</v>
      </c>
      <c r="E19" s="618">
        <v>548119759.13113487</v>
      </c>
      <c r="F19" s="617">
        <v>23435597.917175453</v>
      </c>
      <c r="G19" s="617">
        <v>5483.4226833333341</v>
      </c>
      <c r="H19" s="618">
        <v>23441081.339858785</v>
      </c>
      <c r="I19" s="617">
        <v>25239527.96384212</v>
      </c>
      <c r="J19" s="617">
        <v>8235682.39965</v>
      </c>
      <c r="K19" s="603">
        <v>33475210.36349212</v>
      </c>
    </row>
    <row r="20" spans="1:11">
      <c r="A20" s="154">
        <v>11</v>
      </c>
      <c r="B20" s="155" t="s">
        <v>226</v>
      </c>
      <c r="C20" s="590">
        <v>1368531.3266666669</v>
      </c>
      <c r="D20" s="617">
        <v>45987.631966666668</v>
      </c>
      <c r="E20" s="618">
        <v>1414518.9586333334</v>
      </c>
      <c r="F20" s="617">
        <v>0</v>
      </c>
      <c r="G20" s="617">
        <v>0</v>
      </c>
      <c r="H20" s="618">
        <v>0</v>
      </c>
      <c r="I20" s="617">
        <v>0</v>
      </c>
      <c r="J20" s="617">
        <v>0</v>
      </c>
      <c r="K20" s="603">
        <v>0</v>
      </c>
    </row>
    <row r="21" spans="1:11" ht="14.4" thickBot="1">
      <c r="A21" s="157">
        <v>12</v>
      </c>
      <c r="B21" s="158" t="s">
        <v>225</v>
      </c>
      <c r="C21" s="379">
        <v>543571647.56116819</v>
      </c>
      <c r="D21" s="380">
        <v>5962630.5286000008</v>
      </c>
      <c r="E21" s="379">
        <v>549534278.08976817</v>
      </c>
      <c r="F21" s="380">
        <v>23435597.917175453</v>
      </c>
      <c r="G21" s="380">
        <v>5483.4226833333341</v>
      </c>
      <c r="H21" s="380">
        <v>23441081.339858785</v>
      </c>
      <c r="I21" s="380">
        <v>25239527.96384212</v>
      </c>
      <c r="J21" s="380">
        <v>8235682.39965</v>
      </c>
      <c r="K21" s="381">
        <v>33475210.36349212</v>
      </c>
    </row>
    <row r="22" spans="1:11" ht="38.25" customHeight="1" thickBot="1">
      <c r="A22" s="159"/>
      <c r="B22" s="160"/>
      <c r="C22" s="160"/>
      <c r="D22" s="160"/>
      <c r="E22" s="160"/>
      <c r="F22" s="756" t="s">
        <v>751</v>
      </c>
      <c r="G22" s="754"/>
      <c r="H22" s="754"/>
      <c r="I22" s="756" t="s">
        <v>752</v>
      </c>
      <c r="J22" s="754"/>
      <c r="K22" s="755"/>
    </row>
    <row r="23" spans="1:11">
      <c r="A23" s="161">
        <v>13</v>
      </c>
      <c r="B23" s="162" t="s">
        <v>217</v>
      </c>
      <c r="C23" s="382"/>
      <c r="D23" s="382"/>
      <c r="E23" s="382"/>
      <c r="F23" s="383">
        <f>F8</f>
        <v>18347495.939040039</v>
      </c>
      <c r="G23" s="383">
        <f>G8</f>
        <v>37153387.07378117</v>
      </c>
      <c r="H23" s="383">
        <f t="shared" ref="H23" si="0">SUM(F23:G23)</f>
        <v>55500883.012821212</v>
      </c>
      <c r="I23" s="383">
        <f>I8</f>
        <v>16543565.892373374</v>
      </c>
      <c r="J23" s="383">
        <f>J8</f>
        <v>28923188.096814509</v>
      </c>
      <c r="K23" s="384">
        <f t="shared" ref="K23" si="1">SUM(I23:J23)</f>
        <v>45466753.989187881</v>
      </c>
    </row>
    <row r="24" spans="1:11" ht="14.4" thickBot="1">
      <c r="A24" s="163">
        <v>14</v>
      </c>
      <c r="B24" s="164" t="s">
        <v>229</v>
      </c>
      <c r="C24" s="385"/>
      <c r="D24" s="386"/>
      <c r="E24" s="387"/>
      <c r="F24" s="388">
        <f t="shared" ref="F24:K24" si="2">MAX(F16-F21,F16*0.25)</f>
        <v>4004601.1060458329</v>
      </c>
      <c r="G24" s="388">
        <f t="shared" si="2"/>
        <v>20183133.254282005</v>
      </c>
      <c r="H24" s="388">
        <f t="shared" si="2"/>
        <v>12765939.761289887</v>
      </c>
      <c r="I24" s="388">
        <f t="shared" si="2"/>
        <v>2654570.3837083331</v>
      </c>
      <c r="J24" s="388">
        <f t="shared" si="2"/>
        <v>7814823.8211316671</v>
      </c>
      <c r="K24" s="389">
        <f t="shared" si="2"/>
        <v>6667196.9389037509</v>
      </c>
    </row>
    <row r="25" spans="1:11" ht="14.4" thickBot="1">
      <c r="A25" s="165">
        <v>15</v>
      </c>
      <c r="B25" s="166" t="s">
        <v>230</v>
      </c>
      <c r="C25" s="390"/>
      <c r="D25" s="390"/>
      <c r="E25" s="390"/>
      <c r="F25" s="525">
        <f>F23/F24</f>
        <v>4.5816038734395859</v>
      </c>
      <c r="G25" s="525">
        <f t="shared" ref="G25:H25" si="3">G23/G24</f>
        <v>1.8408136440311513</v>
      </c>
      <c r="H25" s="525">
        <f t="shared" si="3"/>
        <v>4.347575192318887</v>
      </c>
      <c r="I25" s="525">
        <f>I23/I24</f>
        <v>6.2321067069476781</v>
      </c>
      <c r="J25" s="525">
        <f t="shared" ref="J25:K25" si="4">J23/J24</f>
        <v>3.7010671972674278</v>
      </c>
      <c r="K25" s="526">
        <f t="shared" si="4"/>
        <v>6.8194706719828382</v>
      </c>
    </row>
    <row r="27" spans="1:11" ht="27.6">
      <c r="B27" s="144" t="s">
        <v>688</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34"/>
  <sheetViews>
    <sheetView zoomScale="70" zoomScaleNormal="70" workbookViewId="0">
      <pane xSplit="2" ySplit="9" topLeftCell="C10" activePane="bottomRight" state="frozen"/>
      <selection activeCell="B42" sqref="B42"/>
      <selection pane="topRight" activeCell="B42" sqref="B42"/>
      <selection pane="bottomLeft" activeCell="B42" sqref="B42"/>
      <selection pane="bottomRight" activeCell="O16" sqref="O16"/>
    </sheetView>
  </sheetViews>
  <sheetFormatPr defaultColWidth="9.21875" defaultRowHeight="13.2"/>
  <cols>
    <col min="1" max="1" width="11.109375" style="9" bestFit="1" customWidth="1"/>
    <col min="2" max="2" width="95" style="9" customWidth="1"/>
    <col min="3" max="3" width="16.77734375" style="9" customWidth="1"/>
    <col min="4" max="4" width="13.109375" style="9" bestFit="1" customWidth="1"/>
    <col min="5" max="5" width="15.6640625" style="9" bestFit="1" customWidth="1"/>
    <col min="6" max="6" width="12.6640625" style="9" bestFit="1" customWidth="1"/>
    <col min="7" max="7" width="17.21875" style="9" customWidth="1"/>
    <col min="8" max="8" width="11.6640625" style="9" bestFit="1" customWidth="1"/>
    <col min="9" max="9" width="12.21875" style="9" bestFit="1" customWidth="1"/>
    <col min="10" max="12" width="6.109375" style="9" bestFit="1" customWidth="1"/>
    <col min="13" max="13" width="10.88671875" style="9" bestFit="1" customWidth="1"/>
    <col min="14" max="14" width="6.109375" style="9" bestFit="1" customWidth="1"/>
    <col min="15" max="15" width="13.88671875" style="25" customWidth="1"/>
    <col min="16" max="16" width="9.6640625" style="25" customWidth="1"/>
    <col min="17" max="17" width="38.6640625" style="25" bestFit="1" customWidth="1"/>
    <col min="18" max="16384" width="9.21875" style="25"/>
  </cols>
  <sheetData>
    <row r="1" spans="1:17">
      <c r="A1" s="506" t="s">
        <v>680</v>
      </c>
      <c r="B1" s="508" t="str">
        <f>'Info '!C2</f>
        <v>Crystal</v>
      </c>
    </row>
    <row r="2" spans="1:17" ht="14.25" customHeight="1">
      <c r="A2" s="507" t="s">
        <v>641</v>
      </c>
      <c r="B2" s="513">
        <f>'1. key ratios '!B2</f>
        <v>46112</v>
      </c>
    </row>
    <row r="3" spans="1:17" ht="14.25" customHeight="1">
      <c r="B3" s="25"/>
      <c r="C3" s="25"/>
      <c r="D3" s="25"/>
      <c r="E3" s="25"/>
      <c r="F3" s="25"/>
      <c r="G3" s="25"/>
      <c r="H3" s="25"/>
      <c r="I3" s="25"/>
      <c r="J3" s="25"/>
      <c r="K3" s="25"/>
      <c r="L3" s="25"/>
      <c r="M3" s="25"/>
      <c r="N3" s="25"/>
    </row>
    <row r="4" spans="1:17" ht="13.8">
      <c r="B4" s="247" t="s">
        <v>642</v>
      </c>
      <c r="C4" s="25"/>
      <c r="D4" s="25"/>
      <c r="E4" s="25"/>
      <c r="F4" s="25"/>
      <c r="G4" s="25"/>
      <c r="H4" s="25"/>
      <c r="I4" s="25"/>
      <c r="J4" s="25"/>
      <c r="K4" s="25"/>
      <c r="L4" s="25"/>
      <c r="M4" s="25"/>
      <c r="N4" s="25"/>
    </row>
    <row r="5" spans="1:17" ht="41.4">
      <c r="B5" s="248" t="s">
        <v>643</v>
      </c>
      <c r="C5" s="249" t="s">
        <v>644</v>
      </c>
      <c r="D5" s="249" t="s">
        <v>645</v>
      </c>
      <c r="E5" s="249" t="s">
        <v>646</v>
      </c>
      <c r="F5" s="249" t="s">
        <v>647</v>
      </c>
      <c r="G5" s="249" t="s">
        <v>648</v>
      </c>
      <c r="H5" s="249" t="s">
        <v>692</v>
      </c>
      <c r="I5" s="250" t="s">
        <v>649</v>
      </c>
      <c r="J5" s="251">
        <v>0.02</v>
      </c>
      <c r="K5" s="251">
        <v>0.2</v>
      </c>
      <c r="L5" s="251">
        <v>0.35</v>
      </c>
      <c r="M5" s="251">
        <v>0.5</v>
      </c>
      <c r="N5" s="251">
        <v>0.75</v>
      </c>
      <c r="O5" s="251">
        <v>1</v>
      </c>
      <c r="P5" s="251">
        <v>1.5</v>
      </c>
      <c r="Q5" s="252" t="s">
        <v>650</v>
      </c>
    </row>
    <row r="6" spans="1:17" ht="14.4">
      <c r="B6" s="253"/>
      <c r="C6" s="685">
        <f>IF(C7&gt;0,C7,IF(C8&gt;0,C8,IF(C9&gt;0,C9,0)))</f>
        <v>267221388.00000003</v>
      </c>
      <c r="D6" s="685">
        <f t="shared" ref="D6:G6" si="0">IF(D7&gt;0,D7,IF(D8&gt;0,D8,IF(D9&gt;0,D9,0)))</f>
        <v>0</v>
      </c>
      <c r="E6" s="685">
        <f t="shared" si="0"/>
        <v>0</v>
      </c>
      <c r="F6" s="685">
        <f t="shared" si="0"/>
        <v>0</v>
      </c>
      <c r="G6" s="685">
        <f t="shared" si="0"/>
        <v>2317802.113281535</v>
      </c>
      <c r="H6" s="686"/>
      <c r="I6" s="685">
        <f t="shared" ref="I6:P6" si="1">IF(I7&gt;0,I7,IF(I8&gt;0,I8,IF(I9&gt;0,I9,0)))</f>
        <v>3244922.958594149</v>
      </c>
      <c r="J6" s="685">
        <f t="shared" si="1"/>
        <v>0</v>
      </c>
      <c r="K6" s="685">
        <f t="shared" si="1"/>
        <v>0</v>
      </c>
      <c r="L6" s="685">
        <f t="shared" si="1"/>
        <v>0</v>
      </c>
      <c r="M6" s="685">
        <f t="shared" si="1"/>
        <v>210044.95201482822</v>
      </c>
      <c r="N6" s="685">
        <f t="shared" si="1"/>
        <v>0</v>
      </c>
      <c r="O6" s="685">
        <f t="shared" si="1"/>
        <v>3034878.0065793204</v>
      </c>
      <c r="P6" s="685">
        <f t="shared" si="1"/>
        <v>0</v>
      </c>
      <c r="Q6" s="254">
        <f t="shared" ref="Q6" si="2">IF(Q7&gt;0,Q7,IF(Q8&gt;0,Q8,IF(Q9&gt;0,Q9)))</f>
        <v>3139900.4825867345</v>
      </c>
    </row>
    <row r="7" spans="1:17" ht="14.4">
      <c r="B7" s="255" t="s">
        <v>651</v>
      </c>
      <c r="C7" s="685">
        <f>C11+C15+C19+C23+C27+C31</f>
        <v>267221388.00000003</v>
      </c>
      <c r="D7" s="685">
        <f t="shared" ref="D7:G9" si="3">D11+D15+D19+D23+D27+D31</f>
        <v>-13248709.142860774</v>
      </c>
      <c r="E7" s="685">
        <f t="shared" si="3"/>
        <v>0</v>
      </c>
      <c r="F7" s="685">
        <f t="shared" si="3"/>
        <v>0</v>
      </c>
      <c r="G7" s="685">
        <f t="shared" si="3"/>
        <v>2317802.113281535</v>
      </c>
      <c r="H7" s="687">
        <v>1.4</v>
      </c>
      <c r="I7" s="688">
        <f t="shared" ref="I7:I33" si="4">(F7+G7)*H7</f>
        <v>3244922.958594149</v>
      </c>
      <c r="J7" s="685">
        <f>J11+J15+J19+J23+J27+J31</f>
        <v>0</v>
      </c>
      <c r="K7" s="685">
        <f t="shared" ref="J7:P9" si="5">K11+K15+K19+K23+K27+K31</f>
        <v>0</v>
      </c>
      <c r="L7" s="685">
        <f t="shared" si="5"/>
        <v>0</v>
      </c>
      <c r="M7" s="685">
        <f t="shared" si="5"/>
        <v>210044.95201482822</v>
      </c>
      <c r="N7" s="685">
        <f t="shared" si="5"/>
        <v>0</v>
      </c>
      <c r="O7" s="685">
        <f t="shared" si="5"/>
        <v>3034878.0065793204</v>
      </c>
      <c r="P7" s="685">
        <f t="shared" si="5"/>
        <v>0</v>
      </c>
      <c r="Q7" s="391">
        <f>Q11+Q15+Q19+Q23+Q27+Q31</f>
        <v>3139900.4825867345</v>
      </c>
    </row>
    <row r="8" spans="1:17" ht="14.4">
      <c r="B8" s="255" t="s">
        <v>652</v>
      </c>
      <c r="C8" s="685">
        <f>C12+C16+C20+C24+C28+C32</f>
        <v>0</v>
      </c>
      <c r="D8" s="685">
        <f t="shared" si="3"/>
        <v>0</v>
      </c>
      <c r="E8" s="685">
        <f t="shared" si="3"/>
        <v>0</v>
      </c>
      <c r="F8" s="685">
        <f t="shared" si="3"/>
        <v>0</v>
      </c>
      <c r="G8" s="685">
        <f t="shared" si="3"/>
        <v>0</v>
      </c>
      <c r="H8" s="687">
        <v>1.4</v>
      </c>
      <c r="I8" s="688">
        <f t="shared" si="4"/>
        <v>0</v>
      </c>
      <c r="J8" s="685">
        <f t="shared" si="5"/>
        <v>0</v>
      </c>
      <c r="K8" s="685">
        <f t="shared" si="5"/>
        <v>0</v>
      </c>
      <c r="L8" s="685">
        <f t="shared" si="5"/>
        <v>0</v>
      </c>
      <c r="M8" s="685">
        <f t="shared" si="5"/>
        <v>0</v>
      </c>
      <c r="N8" s="685">
        <f t="shared" si="5"/>
        <v>0</v>
      </c>
      <c r="O8" s="685">
        <f t="shared" si="5"/>
        <v>0</v>
      </c>
      <c r="P8" s="685">
        <f t="shared" si="5"/>
        <v>0</v>
      </c>
      <c r="Q8" s="391">
        <f>Q12+Q16+Q20+Q24+Q28+Q32</f>
        <v>0</v>
      </c>
    </row>
    <row r="9" spans="1:17" ht="14.4">
      <c r="B9" s="255" t="s">
        <v>659</v>
      </c>
      <c r="C9" s="685">
        <f>C13+C17+C21+C25+C29+C33</f>
        <v>0</v>
      </c>
      <c r="D9" s="685">
        <f t="shared" si="3"/>
        <v>0</v>
      </c>
      <c r="E9" s="685">
        <f t="shared" si="3"/>
        <v>0</v>
      </c>
      <c r="F9" s="685">
        <f t="shared" si="3"/>
        <v>0</v>
      </c>
      <c r="G9" s="685">
        <f t="shared" si="3"/>
        <v>0</v>
      </c>
      <c r="H9" s="687">
        <v>1.4</v>
      </c>
      <c r="I9" s="688">
        <f t="shared" si="4"/>
        <v>0</v>
      </c>
      <c r="J9" s="685">
        <f t="shared" si="5"/>
        <v>0</v>
      </c>
      <c r="K9" s="685">
        <f t="shared" si="5"/>
        <v>0</v>
      </c>
      <c r="L9" s="685">
        <f t="shared" si="5"/>
        <v>0</v>
      </c>
      <c r="M9" s="685">
        <f t="shared" si="5"/>
        <v>0</v>
      </c>
      <c r="N9" s="685">
        <f t="shared" si="5"/>
        <v>0</v>
      </c>
      <c r="O9" s="685">
        <f t="shared" si="5"/>
        <v>0</v>
      </c>
      <c r="P9" s="685">
        <f t="shared" si="5"/>
        <v>0</v>
      </c>
      <c r="Q9" s="391">
        <f t="shared" ref="Q9" si="6">Q13+Q17+Q21+Q25+Q29+Q33</f>
        <v>0</v>
      </c>
    </row>
    <row r="10" spans="1:17" ht="14.4">
      <c r="B10" s="256" t="s">
        <v>653</v>
      </c>
      <c r="C10" s="689"/>
      <c r="D10" s="689"/>
      <c r="E10" s="689"/>
      <c r="F10" s="689"/>
      <c r="G10" s="689"/>
      <c r="H10" s="687">
        <v>1.4</v>
      </c>
      <c r="I10" s="688">
        <f t="shared" si="4"/>
        <v>0</v>
      </c>
      <c r="J10" s="689"/>
      <c r="K10" s="689"/>
      <c r="L10" s="689"/>
      <c r="M10" s="689"/>
      <c r="N10" s="689"/>
      <c r="O10" s="689"/>
      <c r="P10" s="689"/>
      <c r="Q10" s="391">
        <f>SUM(Q11:Q13)</f>
        <v>0</v>
      </c>
    </row>
    <row r="11" spans="1:17" ht="14.4">
      <c r="B11" s="258" t="s">
        <v>651</v>
      </c>
      <c r="C11" s="689"/>
      <c r="D11" s="689"/>
      <c r="E11" s="689"/>
      <c r="F11" s="689"/>
      <c r="G11" s="689"/>
      <c r="H11" s="687">
        <v>1.4</v>
      </c>
      <c r="I11" s="688">
        <f t="shared" si="4"/>
        <v>0</v>
      </c>
      <c r="J11" s="689"/>
      <c r="K11" s="689"/>
      <c r="L11" s="689"/>
      <c r="M11" s="689"/>
      <c r="N11" s="689"/>
      <c r="O11" s="689"/>
      <c r="P11" s="689"/>
      <c r="Q11" s="391">
        <f>SUMPRODUCT($J$5:$P$5,J11:P11)</f>
        <v>0</v>
      </c>
    </row>
    <row r="12" spans="1:17" ht="14.4">
      <c r="B12" s="258" t="s">
        <v>652</v>
      </c>
      <c r="C12" s="689"/>
      <c r="D12" s="689"/>
      <c r="E12" s="689"/>
      <c r="F12" s="689"/>
      <c r="G12" s="689"/>
      <c r="H12" s="687">
        <v>1.4</v>
      </c>
      <c r="I12" s="688">
        <f t="shared" si="4"/>
        <v>0</v>
      </c>
      <c r="J12" s="689"/>
      <c r="K12" s="689"/>
      <c r="L12" s="689"/>
      <c r="M12" s="689"/>
      <c r="N12" s="689"/>
      <c r="O12" s="689"/>
      <c r="P12" s="689"/>
      <c r="Q12" s="391">
        <f t="shared" ref="Q12:Q13" si="7">SUMPRODUCT($J$5:$P$5,J12:P12)</f>
        <v>0</v>
      </c>
    </row>
    <row r="13" spans="1:17" ht="14.4">
      <c r="B13" s="258" t="s">
        <v>659</v>
      </c>
      <c r="C13" s="689"/>
      <c r="D13" s="689"/>
      <c r="E13" s="689"/>
      <c r="F13" s="689"/>
      <c r="G13" s="689"/>
      <c r="H13" s="687">
        <v>1.4</v>
      </c>
      <c r="I13" s="688">
        <f t="shared" si="4"/>
        <v>0</v>
      </c>
      <c r="J13" s="689"/>
      <c r="K13" s="689"/>
      <c r="L13" s="689"/>
      <c r="M13" s="689"/>
      <c r="N13" s="689"/>
      <c r="O13" s="689"/>
      <c r="P13" s="689"/>
      <c r="Q13" s="391">
        <f t="shared" si="7"/>
        <v>0</v>
      </c>
    </row>
    <row r="14" spans="1:17" ht="14.4">
      <c r="B14" s="256" t="s">
        <v>654</v>
      </c>
      <c r="C14" s="689"/>
      <c r="D14" s="689"/>
      <c r="E14" s="689"/>
      <c r="F14" s="689"/>
      <c r="G14" s="689"/>
      <c r="H14" s="687">
        <v>1.4</v>
      </c>
      <c r="I14" s="688">
        <f t="shared" si="4"/>
        <v>0</v>
      </c>
      <c r="J14" s="689"/>
      <c r="K14" s="689"/>
      <c r="L14" s="689"/>
      <c r="M14" s="689"/>
      <c r="N14" s="689"/>
      <c r="O14" s="689"/>
      <c r="P14" s="689"/>
      <c r="Q14" s="391">
        <f>SUM(Q15:Q17)</f>
        <v>0</v>
      </c>
    </row>
    <row r="15" spans="1:17" ht="14.4">
      <c r="B15" s="258" t="s">
        <v>651</v>
      </c>
      <c r="C15" s="689"/>
      <c r="D15" s="689"/>
      <c r="E15" s="689"/>
      <c r="F15" s="689"/>
      <c r="G15" s="689"/>
      <c r="H15" s="687">
        <v>1.4</v>
      </c>
      <c r="I15" s="688">
        <f t="shared" si="4"/>
        <v>0</v>
      </c>
      <c r="J15" s="689"/>
      <c r="K15" s="689"/>
      <c r="L15" s="689"/>
      <c r="M15" s="689"/>
      <c r="N15" s="689"/>
      <c r="O15" s="689"/>
      <c r="P15" s="689"/>
      <c r="Q15" s="391">
        <f>SUMPRODUCT($J$5:$P$5,J15:P15)</f>
        <v>0</v>
      </c>
    </row>
    <row r="16" spans="1:17" ht="14.4">
      <c r="B16" s="258" t="s">
        <v>652</v>
      </c>
      <c r="C16" s="689"/>
      <c r="D16" s="689"/>
      <c r="E16" s="689"/>
      <c r="F16" s="689"/>
      <c r="G16" s="689"/>
      <c r="H16" s="687">
        <v>1.4</v>
      </c>
      <c r="I16" s="688">
        <f t="shared" si="4"/>
        <v>0</v>
      </c>
      <c r="J16" s="689"/>
      <c r="K16" s="689"/>
      <c r="L16" s="689"/>
      <c r="M16" s="689"/>
      <c r="N16" s="689"/>
      <c r="O16" s="689"/>
      <c r="P16" s="689"/>
      <c r="Q16" s="391">
        <f t="shared" ref="Q16:Q17" si="8">SUMPRODUCT($J$5:$P$5,J16:P16)</f>
        <v>0</v>
      </c>
    </row>
    <row r="17" spans="2:17" ht="14.4">
      <c r="B17" s="258" t="s">
        <v>659</v>
      </c>
      <c r="C17" s="689"/>
      <c r="D17" s="689"/>
      <c r="E17" s="689"/>
      <c r="F17" s="689"/>
      <c r="G17" s="689"/>
      <c r="H17" s="687">
        <v>1.4</v>
      </c>
      <c r="I17" s="688">
        <f t="shared" si="4"/>
        <v>0</v>
      </c>
      <c r="J17" s="689"/>
      <c r="K17" s="689"/>
      <c r="L17" s="689"/>
      <c r="M17" s="689"/>
      <c r="N17" s="689"/>
      <c r="O17" s="689"/>
      <c r="P17" s="689"/>
      <c r="Q17" s="391">
        <f t="shared" si="8"/>
        <v>0</v>
      </c>
    </row>
    <row r="18" spans="2:17" ht="14.4">
      <c r="B18" s="256" t="s">
        <v>655</v>
      </c>
      <c r="C18" s="689"/>
      <c r="D18" s="689"/>
      <c r="E18" s="689"/>
      <c r="F18" s="689"/>
      <c r="G18" s="689"/>
      <c r="H18" s="687">
        <v>1.4</v>
      </c>
      <c r="I18" s="688">
        <f t="shared" si="4"/>
        <v>0</v>
      </c>
      <c r="J18" s="689"/>
      <c r="K18" s="689"/>
      <c r="L18" s="689"/>
      <c r="M18" s="689"/>
      <c r="N18" s="689"/>
      <c r="O18" s="689"/>
      <c r="P18" s="689"/>
      <c r="Q18" s="391">
        <f>SUM(Q19:Q21)</f>
        <v>3139900.4825867345</v>
      </c>
    </row>
    <row r="19" spans="2:17" ht="14.4">
      <c r="B19" s="258" t="s">
        <v>651</v>
      </c>
      <c r="C19" s="689">
        <v>267221388.00000003</v>
      </c>
      <c r="D19" s="689">
        <v>-13248709.142860774</v>
      </c>
      <c r="E19" s="689">
        <v>0</v>
      </c>
      <c r="F19" s="689">
        <v>0</v>
      </c>
      <c r="G19" s="689">
        <v>2317802.113281535</v>
      </c>
      <c r="H19" s="687">
        <v>1.4</v>
      </c>
      <c r="I19" s="688">
        <f t="shared" si="4"/>
        <v>3244922.958594149</v>
      </c>
      <c r="J19" s="689"/>
      <c r="K19" s="689"/>
      <c r="L19" s="689"/>
      <c r="M19" s="689">
        <v>210044.95201482822</v>
      </c>
      <c r="N19" s="689"/>
      <c r="O19" s="689">
        <v>3034878.0065793204</v>
      </c>
      <c r="P19" s="689"/>
      <c r="Q19" s="391">
        <f t="shared" ref="Q19" si="9">SUMPRODUCT($J$5:$P$5,J19:P19)</f>
        <v>3139900.4825867345</v>
      </c>
    </row>
    <row r="20" spans="2:17" ht="14.4">
      <c r="B20" s="258" t="s">
        <v>652</v>
      </c>
      <c r="C20" s="689"/>
      <c r="D20" s="689"/>
      <c r="E20" s="689"/>
      <c r="F20" s="689"/>
      <c r="G20" s="689"/>
      <c r="H20" s="687">
        <v>1.4</v>
      </c>
      <c r="I20" s="688">
        <f t="shared" si="4"/>
        <v>0</v>
      </c>
      <c r="J20" s="689"/>
      <c r="K20" s="689"/>
      <c r="L20" s="689"/>
      <c r="M20" s="689"/>
      <c r="N20" s="689"/>
      <c r="O20" s="689"/>
      <c r="P20" s="689"/>
      <c r="Q20" s="391">
        <f t="shared" ref="Q20:Q21" si="10">SUMPRODUCT($J$5:$P$5,J20:P20)</f>
        <v>0</v>
      </c>
    </row>
    <row r="21" spans="2:17" ht="14.4">
      <c r="B21" s="258" t="s">
        <v>659</v>
      </c>
      <c r="C21" s="689"/>
      <c r="D21" s="689"/>
      <c r="E21" s="689"/>
      <c r="F21" s="689"/>
      <c r="G21" s="689"/>
      <c r="H21" s="687">
        <v>1.4</v>
      </c>
      <c r="I21" s="688">
        <f t="shared" si="4"/>
        <v>0</v>
      </c>
      <c r="J21" s="689"/>
      <c r="K21" s="689"/>
      <c r="L21" s="689"/>
      <c r="M21" s="689"/>
      <c r="N21" s="689"/>
      <c r="O21" s="689"/>
      <c r="P21" s="689"/>
      <c r="Q21" s="391">
        <f t="shared" si="10"/>
        <v>0</v>
      </c>
    </row>
    <row r="22" spans="2:17" ht="14.4">
      <c r="B22" s="256" t="s">
        <v>656</v>
      </c>
      <c r="C22" s="689"/>
      <c r="D22" s="689"/>
      <c r="E22" s="689"/>
      <c r="F22" s="689"/>
      <c r="G22" s="689"/>
      <c r="H22" s="687">
        <v>1.4</v>
      </c>
      <c r="I22" s="688">
        <f t="shared" si="4"/>
        <v>0</v>
      </c>
      <c r="J22" s="689"/>
      <c r="K22" s="689"/>
      <c r="L22" s="689"/>
      <c r="M22" s="689"/>
      <c r="N22" s="689"/>
      <c r="O22" s="689"/>
      <c r="P22" s="689"/>
      <c r="Q22" s="391">
        <f>SUM(Q23:Q25)</f>
        <v>0</v>
      </c>
    </row>
    <row r="23" spans="2:17" ht="14.4">
      <c r="B23" s="258" t="s">
        <v>651</v>
      </c>
      <c r="C23" s="689"/>
      <c r="D23" s="689"/>
      <c r="E23" s="689"/>
      <c r="F23" s="689"/>
      <c r="G23" s="689"/>
      <c r="H23" s="687">
        <v>1.4</v>
      </c>
      <c r="I23" s="688">
        <f t="shared" si="4"/>
        <v>0</v>
      </c>
      <c r="J23" s="689"/>
      <c r="K23" s="689"/>
      <c r="L23" s="689"/>
      <c r="M23" s="689"/>
      <c r="N23" s="689"/>
      <c r="O23" s="689"/>
      <c r="P23" s="689"/>
      <c r="Q23" s="391">
        <f>SUMPRODUCT($J$5:$P$5,J23:P23)</f>
        <v>0</v>
      </c>
    </row>
    <row r="24" spans="2:17" ht="14.4">
      <c r="B24" s="258" t="s">
        <v>652</v>
      </c>
      <c r="C24" s="689"/>
      <c r="D24" s="689"/>
      <c r="E24" s="689"/>
      <c r="F24" s="689"/>
      <c r="G24" s="689"/>
      <c r="H24" s="687">
        <v>1.4</v>
      </c>
      <c r="I24" s="688">
        <f t="shared" si="4"/>
        <v>0</v>
      </c>
      <c r="J24" s="689"/>
      <c r="K24" s="689"/>
      <c r="L24" s="689"/>
      <c r="M24" s="689"/>
      <c r="N24" s="689"/>
      <c r="O24" s="689"/>
      <c r="P24" s="689"/>
      <c r="Q24" s="391">
        <f t="shared" ref="Q24:Q25" si="11">SUMPRODUCT($J$5:$P$5,J24:P24)</f>
        <v>0</v>
      </c>
    </row>
    <row r="25" spans="2:17" ht="14.4">
      <c r="B25" s="258" t="s">
        <v>659</v>
      </c>
      <c r="C25" s="689"/>
      <c r="D25" s="689"/>
      <c r="E25" s="689"/>
      <c r="F25" s="689"/>
      <c r="G25" s="689"/>
      <c r="H25" s="687">
        <v>1.4</v>
      </c>
      <c r="I25" s="688">
        <f t="shared" si="4"/>
        <v>0</v>
      </c>
      <c r="J25" s="689"/>
      <c r="K25" s="689"/>
      <c r="L25" s="689"/>
      <c r="M25" s="689"/>
      <c r="N25" s="689"/>
      <c r="O25" s="689"/>
      <c r="P25" s="689"/>
      <c r="Q25" s="391">
        <f t="shared" si="11"/>
        <v>0</v>
      </c>
    </row>
    <row r="26" spans="2:17" ht="14.4">
      <c r="B26" s="256" t="s">
        <v>657</v>
      </c>
      <c r="C26" s="689"/>
      <c r="D26" s="689"/>
      <c r="E26" s="689"/>
      <c r="F26" s="689"/>
      <c r="G26" s="689"/>
      <c r="H26" s="687">
        <v>1.4</v>
      </c>
      <c r="I26" s="688">
        <f t="shared" si="4"/>
        <v>0</v>
      </c>
      <c r="J26" s="689"/>
      <c r="K26" s="689"/>
      <c r="L26" s="689"/>
      <c r="M26" s="689"/>
      <c r="N26" s="689"/>
      <c r="O26" s="689"/>
      <c r="P26" s="689"/>
      <c r="Q26" s="391">
        <f>SUM(Q27:Q29)</f>
        <v>0</v>
      </c>
    </row>
    <row r="27" spans="2:17" ht="14.4">
      <c r="B27" s="258" t="s">
        <v>651</v>
      </c>
      <c r="C27" s="689"/>
      <c r="D27" s="689"/>
      <c r="E27" s="689"/>
      <c r="F27" s="689"/>
      <c r="G27" s="689"/>
      <c r="H27" s="687">
        <v>1.4</v>
      </c>
      <c r="I27" s="688">
        <f t="shared" si="4"/>
        <v>0</v>
      </c>
      <c r="J27" s="689"/>
      <c r="K27" s="689"/>
      <c r="L27" s="689"/>
      <c r="M27" s="689"/>
      <c r="N27" s="689"/>
      <c r="O27" s="689"/>
      <c r="P27" s="689"/>
      <c r="Q27" s="391">
        <f>SUMPRODUCT($J$5:$P$5,J27:P27)</f>
        <v>0</v>
      </c>
    </row>
    <row r="28" spans="2:17" ht="14.4">
      <c r="B28" s="258" t="s">
        <v>652</v>
      </c>
      <c r="C28" s="689"/>
      <c r="D28" s="689"/>
      <c r="E28" s="689"/>
      <c r="F28" s="689"/>
      <c r="G28" s="689"/>
      <c r="H28" s="687">
        <v>1.4</v>
      </c>
      <c r="I28" s="688">
        <f t="shared" si="4"/>
        <v>0</v>
      </c>
      <c r="J28" s="689"/>
      <c r="K28" s="689"/>
      <c r="L28" s="689"/>
      <c r="M28" s="689"/>
      <c r="N28" s="689"/>
      <c r="O28" s="689"/>
      <c r="P28" s="689"/>
      <c r="Q28" s="391">
        <f t="shared" ref="Q28:Q29" si="12">SUMPRODUCT($J$5:$P$5,J28:P28)</f>
        <v>0</v>
      </c>
    </row>
    <row r="29" spans="2:17" ht="14.4">
      <c r="B29" s="258" t="s">
        <v>659</v>
      </c>
      <c r="C29" s="689"/>
      <c r="D29" s="689"/>
      <c r="E29" s="689"/>
      <c r="F29" s="689"/>
      <c r="G29" s="689"/>
      <c r="H29" s="687">
        <v>1.4</v>
      </c>
      <c r="I29" s="688">
        <f t="shared" si="4"/>
        <v>0</v>
      </c>
      <c r="J29" s="689"/>
      <c r="K29" s="689"/>
      <c r="L29" s="689"/>
      <c r="M29" s="689"/>
      <c r="N29" s="689"/>
      <c r="O29" s="689"/>
      <c r="P29" s="689"/>
      <c r="Q29" s="391">
        <f t="shared" si="12"/>
        <v>0</v>
      </c>
    </row>
    <row r="30" spans="2:17" ht="14.4">
      <c r="B30" s="259" t="s">
        <v>658</v>
      </c>
      <c r="C30" s="689"/>
      <c r="D30" s="689"/>
      <c r="E30" s="689"/>
      <c r="F30" s="689"/>
      <c r="G30" s="689"/>
      <c r="H30" s="687">
        <v>1.4</v>
      </c>
      <c r="I30" s="688">
        <f t="shared" si="4"/>
        <v>0</v>
      </c>
      <c r="J30" s="689"/>
      <c r="K30" s="689"/>
      <c r="L30" s="689"/>
      <c r="M30" s="689"/>
      <c r="N30" s="689"/>
      <c r="O30" s="689"/>
      <c r="P30" s="689"/>
      <c r="Q30" s="391">
        <f>SUM(Q31:Q33)</f>
        <v>0</v>
      </c>
    </row>
    <row r="31" spans="2:17" ht="14.4">
      <c r="B31" s="258" t="s">
        <v>651</v>
      </c>
      <c r="C31" s="689"/>
      <c r="D31" s="689"/>
      <c r="E31" s="689"/>
      <c r="F31" s="689"/>
      <c r="G31" s="689"/>
      <c r="H31" s="687">
        <v>1.4</v>
      </c>
      <c r="I31" s="688">
        <f t="shared" si="4"/>
        <v>0</v>
      </c>
      <c r="J31" s="689"/>
      <c r="K31" s="689"/>
      <c r="L31" s="689"/>
      <c r="M31" s="689"/>
      <c r="N31" s="689"/>
      <c r="O31" s="689"/>
      <c r="P31" s="689"/>
      <c r="Q31" s="391">
        <f>SUMPRODUCT($J$5:$P$5,J31:P31)</f>
        <v>0</v>
      </c>
    </row>
    <row r="32" spans="2:17" ht="14.4">
      <c r="B32" s="258" t="s">
        <v>652</v>
      </c>
      <c r="C32" s="689"/>
      <c r="D32" s="689"/>
      <c r="E32" s="689"/>
      <c r="F32" s="689"/>
      <c r="G32" s="689"/>
      <c r="H32" s="687">
        <v>1.4</v>
      </c>
      <c r="I32" s="688">
        <f t="shared" si="4"/>
        <v>0</v>
      </c>
      <c r="J32" s="689"/>
      <c r="K32" s="689"/>
      <c r="L32" s="689"/>
      <c r="M32" s="689"/>
      <c r="N32" s="689"/>
      <c r="O32" s="689"/>
      <c r="P32" s="689"/>
      <c r="Q32" s="391">
        <f t="shared" ref="Q32:Q33" si="13">SUMPRODUCT($J$5:$P$5,J32:P32)</f>
        <v>0</v>
      </c>
    </row>
    <row r="33" spans="1:17" ht="14.4">
      <c r="B33" s="258" t="s">
        <v>659</v>
      </c>
      <c r="C33" s="689"/>
      <c r="D33" s="689"/>
      <c r="E33" s="689"/>
      <c r="F33" s="689"/>
      <c r="G33" s="689"/>
      <c r="H33" s="687">
        <v>1.4</v>
      </c>
      <c r="I33" s="688">
        <f t="shared" si="4"/>
        <v>0</v>
      </c>
      <c r="J33" s="689"/>
      <c r="K33" s="689"/>
      <c r="L33" s="689"/>
      <c r="M33" s="689"/>
      <c r="N33" s="689"/>
      <c r="O33" s="689"/>
      <c r="P33" s="689"/>
      <c r="Q33" s="391">
        <f t="shared" si="13"/>
        <v>0</v>
      </c>
    </row>
    <row r="34" spans="1:17" s="524" customFormat="1" ht="14.4">
      <c r="A34" s="507"/>
      <c r="B34" s="260" t="s">
        <v>62</v>
      </c>
      <c r="C34" s="690">
        <f>C6</f>
        <v>267221388.00000003</v>
      </c>
      <c r="D34" s="690">
        <f t="shared" ref="D34:G34" si="14">D6</f>
        <v>0</v>
      </c>
      <c r="E34" s="690">
        <f t="shared" si="14"/>
        <v>0</v>
      </c>
      <c r="F34" s="690">
        <f t="shared" si="14"/>
        <v>0</v>
      </c>
      <c r="G34" s="690">
        <f t="shared" si="14"/>
        <v>2317802.113281535</v>
      </c>
      <c r="H34" s="687">
        <v>1.4</v>
      </c>
      <c r="I34" s="688">
        <f>(F34+G34)*H34</f>
        <v>3244922.958594149</v>
      </c>
      <c r="J34" s="690">
        <f t="shared" ref="J34:P34" si="15">J6</f>
        <v>0</v>
      </c>
      <c r="K34" s="690">
        <f t="shared" si="15"/>
        <v>0</v>
      </c>
      <c r="L34" s="690">
        <f t="shared" si="15"/>
        <v>0</v>
      </c>
      <c r="M34" s="690">
        <f t="shared" si="15"/>
        <v>210044.95201482822</v>
      </c>
      <c r="N34" s="690">
        <f t="shared" si="15"/>
        <v>0</v>
      </c>
      <c r="O34" s="690">
        <f t="shared" si="15"/>
        <v>3034878.0065793204</v>
      </c>
      <c r="P34" s="690">
        <f t="shared" si="15"/>
        <v>0</v>
      </c>
      <c r="Q34" s="392">
        <f t="shared" ref="Q34" si="16">Q6</f>
        <v>3139900.4825867345</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37"/>
  <sheetViews>
    <sheetView topLeftCell="A8" zoomScale="70" zoomScaleNormal="70" workbookViewId="0">
      <selection activeCell="C6" sqref="C6:C34"/>
    </sheetView>
  </sheetViews>
  <sheetFormatPr defaultColWidth="8.77734375" defaultRowHeight="13.8"/>
  <cols>
    <col min="1" max="1" width="11.44140625" style="9" customWidth="1"/>
    <col min="2" max="2" width="76.77734375" style="34" customWidth="1"/>
    <col min="3" max="3" width="22.77734375" style="9" customWidth="1"/>
    <col min="4" max="16384" width="8.77734375" style="235"/>
  </cols>
  <sheetData>
    <row r="1" spans="1:3">
      <c r="A1" s="504" t="s">
        <v>680</v>
      </c>
      <c r="B1" s="496" t="str">
        <f>'Info '!C2</f>
        <v>Crystal</v>
      </c>
    </row>
    <row r="2" spans="1:3">
      <c r="A2" s="66" t="s">
        <v>31</v>
      </c>
      <c r="B2" s="497">
        <f>'1. key ratios '!B2</f>
        <v>46112</v>
      </c>
    </row>
    <row r="3" spans="1:3">
      <c r="B3" s="9"/>
    </row>
    <row r="4" spans="1:3">
      <c r="A4" s="9" t="s">
        <v>264</v>
      </c>
      <c r="B4" s="9" t="s">
        <v>265</v>
      </c>
    </row>
    <row r="5" spans="1:3">
      <c r="A5" s="261" t="s">
        <v>266</v>
      </c>
      <c r="B5" s="262"/>
      <c r="C5" s="263"/>
    </row>
    <row r="6" spans="1:3" ht="26.4">
      <c r="A6" s="264">
        <v>1</v>
      </c>
      <c r="B6" s="265" t="s">
        <v>671</v>
      </c>
      <c r="C6" s="691">
        <v>678727933.52030408</v>
      </c>
    </row>
    <row r="7" spans="1:3">
      <c r="A7" s="264">
        <v>2</v>
      </c>
      <c r="B7" s="265" t="s">
        <v>267</v>
      </c>
      <c r="C7" s="691">
        <v>-8980329.2199999988</v>
      </c>
    </row>
    <row r="8" spans="1:3" ht="26.4">
      <c r="A8" s="266">
        <v>3</v>
      </c>
      <c r="B8" s="267" t="s">
        <v>268</v>
      </c>
      <c r="C8" s="626">
        <v>669747604.30030406</v>
      </c>
    </row>
    <row r="9" spans="1:3">
      <c r="A9" s="261" t="s">
        <v>269</v>
      </c>
      <c r="B9" s="262"/>
      <c r="C9" s="627"/>
    </row>
    <row r="10" spans="1:3" ht="25.8" customHeight="1">
      <c r="A10" s="264">
        <v>4</v>
      </c>
      <c r="B10" s="269" t="s">
        <v>693</v>
      </c>
      <c r="C10" s="625">
        <v>0</v>
      </c>
    </row>
    <row r="11" spans="1:3" ht="25.8" customHeight="1">
      <c r="A11" s="264">
        <v>5</v>
      </c>
      <c r="B11" s="270" t="s">
        <v>694</v>
      </c>
      <c r="C11" s="625">
        <v>2317802.113281535</v>
      </c>
    </row>
    <row r="12" spans="1:3" ht="25.8" customHeight="1">
      <c r="A12" s="264">
        <v>6</v>
      </c>
      <c r="B12" s="270" t="s">
        <v>665</v>
      </c>
      <c r="C12" s="626">
        <v>3244922.958594149</v>
      </c>
    </row>
    <row r="13" spans="1:3" ht="25.8" customHeight="1">
      <c r="A13" s="271">
        <v>7</v>
      </c>
      <c r="B13" s="269" t="s">
        <v>666</v>
      </c>
      <c r="C13" s="625">
        <v>0</v>
      </c>
    </row>
    <row r="14" spans="1:3" ht="25.8" customHeight="1">
      <c r="A14" s="266">
        <v>8</v>
      </c>
      <c r="B14" s="272" t="s">
        <v>270</v>
      </c>
      <c r="C14" s="626">
        <v>3244922.958594149</v>
      </c>
    </row>
    <row r="15" spans="1:3">
      <c r="A15" s="261" t="s">
        <v>271</v>
      </c>
      <c r="B15" s="262"/>
      <c r="C15" s="627"/>
    </row>
    <row r="16" spans="1:3" ht="26.4">
      <c r="A16" s="271">
        <v>9</v>
      </c>
      <c r="B16" s="269" t="s">
        <v>272</v>
      </c>
      <c r="C16" s="625">
        <v>0</v>
      </c>
    </row>
    <row r="17" spans="1:3">
      <c r="A17" s="271">
        <v>10</v>
      </c>
      <c r="B17" s="269" t="s">
        <v>273</v>
      </c>
      <c r="C17" s="625">
        <v>0</v>
      </c>
    </row>
    <row r="18" spans="1:3">
      <c r="A18" s="271">
        <v>11</v>
      </c>
      <c r="B18" s="269" t="s">
        <v>274</v>
      </c>
      <c r="C18" s="625">
        <v>0</v>
      </c>
    </row>
    <row r="19" spans="1:3" ht="26.4">
      <c r="A19" s="271">
        <v>12</v>
      </c>
      <c r="B19" s="269" t="s">
        <v>275</v>
      </c>
      <c r="C19" s="625">
        <v>0</v>
      </c>
    </row>
    <row r="20" spans="1:3">
      <c r="A20" s="271">
        <v>14</v>
      </c>
      <c r="B20" s="269" t="s">
        <v>276</v>
      </c>
      <c r="C20" s="625">
        <v>0</v>
      </c>
    </row>
    <row r="21" spans="1:3">
      <c r="A21" s="271">
        <v>14</v>
      </c>
      <c r="B21" s="269" t="s">
        <v>277</v>
      </c>
      <c r="C21" s="625">
        <v>0</v>
      </c>
    </row>
    <row r="22" spans="1:3">
      <c r="A22" s="266">
        <v>15</v>
      </c>
      <c r="B22" s="272" t="s">
        <v>278</v>
      </c>
      <c r="C22" s="626">
        <v>0</v>
      </c>
    </row>
    <row r="23" spans="1:3">
      <c r="A23" s="261" t="s">
        <v>279</v>
      </c>
      <c r="B23" s="262"/>
      <c r="C23" s="627"/>
    </row>
    <row r="24" spans="1:3">
      <c r="A24" s="274">
        <v>16</v>
      </c>
      <c r="B24" s="270" t="s">
        <v>280</v>
      </c>
      <c r="C24" s="691">
        <v>2432766.9082999914</v>
      </c>
    </row>
    <row r="25" spans="1:3">
      <c r="A25" s="274">
        <v>17</v>
      </c>
      <c r="B25" s="270" t="s">
        <v>281</v>
      </c>
      <c r="C25" s="691">
        <v>-1844633.5485099931</v>
      </c>
    </row>
    <row r="26" spans="1:3">
      <c r="A26" s="275">
        <v>18</v>
      </c>
      <c r="B26" s="272" t="s">
        <v>282</v>
      </c>
      <c r="C26" s="626">
        <v>588133.35978999827</v>
      </c>
    </row>
    <row r="27" spans="1:3">
      <c r="A27" s="261" t="s">
        <v>283</v>
      </c>
      <c r="B27" s="262"/>
      <c r="C27" s="627"/>
    </row>
    <row r="28" spans="1:3" ht="26.4">
      <c r="A28" s="274">
        <v>19</v>
      </c>
      <c r="B28" s="269" t="s">
        <v>284</v>
      </c>
      <c r="C28" s="625">
        <v>0</v>
      </c>
    </row>
    <row r="29" spans="1:3">
      <c r="A29" s="274">
        <v>20</v>
      </c>
      <c r="B29" s="270" t="s">
        <v>285</v>
      </c>
      <c r="C29" s="625">
        <v>0</v>
      </c>
    </row>
    <row r="30" spans="1:3">
      <c r="A30" s="261" t="s">
        <v>670</v>
      </c>
      <c r="B30" s="262"/>
      <c r="C30" s="627"/>
    </row>
    <row r="31" spans="1:3">
      <c r="A31" s="275">
        <v>21</v>
      </c>
      <c r="B31" s="277" t="s">
        <v>286</v>
      </c>
      <c r="C31" s="626">
        <v>102655906.2013261</v>
      </c>
    </row>
    <row r="32" spans="1:3">
      <c r="A32" s="275">
        <v>22</v>
      </c>
      <c r="B32" s="272" t="s">
        <v>287</v>
      </c>
      <c r="C32" s="273">
        <v>673580660.61868823</v>
      </c>
    </row>
    <row r="33" spans="1:3">
      <c r="A33" s="261" t="s">
        <v>288</v>
      </c>
      <c r="B33" s="262"/>
      <c r="C33" s="268"/>
    </row>
    <row r="34" spans="1:3">
      <c r="A34" s="266">
        <v>23</v>
      </c>
      <c r="B34" s="272" t="s">
        <v>288</v>
      </c>
      <c r="C34" s="523">
        <v>0.15240328620337168</v>
      </c>
    </row>
    <row r="35" spans="1:3">
      <c r="A35" s="261" t="s">
        <v>289</v>
      </c>
      <c r="B35" s="262"/>
      <c r="C35" s="268"/>
    </row>
    <row r="36" spans="1:3">
      <c r="A36" s="278" t="s">
        <v>290</v>
      </c>
      <c r="B36" s="269" t="s">
        <v>291</v>
      </c>
      <c r="C36" s="276">
        <v>0</v>
      </c>
    </row>
    <row r="37" spans="1:3" ht="26.4">
      <c r="A37" s="278" t="s">
        <v>292</v>
      </c>
      <c r="B37" s="265" t="s">
        <v>293</v>
      </c>
      <c r="C37" s="276">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9"/>
  <sheetViews>
    <sheetView zoomScale="70" zoomScaleNormal="70" workbookViewId="0">
      <selection activeCell="F33" sqref="F33"/>
    </sheetView>
  </sheetViews>
  <sheetFormatPr defaultColWidth="8.88671875" defaultRowHeight="14.4"/>
  <cols>
    <col min="1" max="1" width="11.44140625" style="10" customWidth="1"/>
    <col min="2" max="2" width="76.77734375" style="37" customWidth="1"/>
    <col min="3" max="6" width="25.33203125" style="10" customWidth="1"/>
  </cols>
  <sheetData>
    <row r="1" spans="1:6">
      <c r="A1" s="504" t="s">
        <v>680</v>
      </c>
      <c r="B1" s="496" t="str">
        <f>'Info '!C2</f>
        <v>Crystal</v>
      </c>
    </row>
    <row r="2" spans="1:6">
      <c r="A2" s="66" t="s">
        <v>31</v>
      </c>
      <c r="B2" s="497">
        <f>'1. key ratios '!B2</f>
        <v>46112</v>
      </c>
    </row>
    <row r="3" spans="1:6">
      <c r="A3" s="9"/>
      <c r="B3" s="10"/>
    </row>
    <row r="4" spans="1:6">
      <c r="A4" s="279" t="s">
        <v>660</v>
      </c>
    </row>
    <row r="5" spans="1:6" ht="55.2">
      <c r="B5" s="257"/>
      <c r="C5" s="280" t="s">
        <v>661</v>
      </c>
      <c r="D5" s="280" t="s">
        <v>663</v>
      </c>
      <c r="E5" s="280" t="s">
        <v>662</v>
      </c>
      <c r="F5" s="280" t="s">
        <v>664</v>
      </c>
    </row>
    <row r="6" spans="1:6">
      <c r="B6" s="281" t="s">
        <v>640</v>
      </c>
      <c r="C6" s="391">
        <f>IF(C7&gt;0,C7,IF(C8&gt;0,C8,IF(C9&gt;0,C9,0)))</f>
        <v>3180134.6622221675</v>
      </c>
      <c r="D6" s="391">
        <f t="shared" ref="D6:F6" si="0">IF(D7&gt;0,D7,IF(D8&gt;0,D8,IF(D9&gt;0,D9,0)))</f>
        <v>100275.70753347038</v>
      </c>
      <c r="E6" s="391">
        <f t="shared" si="0"/>
        <v>0</v>
      </c>
      <c r="F6" s="391">
        <f t="shared" si="0"/>
        <v>1253446.3441683799</v>
      </c>
    </row>
    <row r="7" spans="1:6">
      <c r="B7" s="255" t="s">
        <v>651</v>
      </c>
      <c r="C7" s="393">
        <v>3180134.6622221675</v>
      </c>
      <c r="D7" s="393">
        <v>100275.70753347038</v>
      </c>
      <c r="E7" s="393">
        <v>0</v>
      </c>
      <c r="F7" s="393">
        <v>1253446.3441683799</v>
      </c>
    </row>
    <row r="8" spans="1:6">
      <c r="B8" s="255" t="s">
        <v>652</v>
      </c>
      <c r="C8" s="393">
        <v>0</v>
      </c>
      <c r="D8" s="393">
        <v>0</v>
      </c>
      <c r="E8" s="393">
        <v>0</v>
      </c>
      <c r="F8" s="393">
        <v>0</v>
      </c>
    </row>
    <row r="9" spans="1:6">
      <c r="B9" s="255" t="s">
        <v>659</v>
      </c>
      <c r="C9" s="393">
        <v>0</v>
      </c>
      <c r="D9" s="393">
        <v>0</v>
      </c>
      <c r="E9" s="393">
        <v>0</v>
      </c>
      <c r="F9" s="393">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5"/>
  <sheetViews>
    <sheetView tabSelected="1" zoomScale="70" zoomScaleNormal="70" workbookViewId="0">
      <pane xSplit="1" ySplit="5" topLeftCell="B6" activePane="bottomRight" state="frozen"/>
      <selection activeCell="B42" sqref="B42"/>
      <selection pane="topRight" activeCell="B42" sqref="B42"/>
      <selection pane="bottomLeft" activeCell="B42" sqref="B42"/>
      <selection pane="bottomRight" activeCell="A3" sqref="A3"/>
    </sheetView>
  </sheetViews>
  <sheetFormatPr defaultColWidth="9.21875" defaultRowHeight="13.8"/>
  <cols>
    <col min="1" max="1" width="10.6640625" style="8" bestFit="1" customWidth="1"/>
    <col min="2" max="2" width="86" style="8" customWidth="1"/>
    <col min="3" max="3" width="15.44140625" style="8" customWidth="1"/>
    <col min="4" max="4" width="14.21875" style="9" customWidth="1"/>
    <col min="5" max="5" width="14.33203125" style="9" customWidth="1"/>
    <col min="6" max="6" width="15.33203125" style="9" customWidth="1"/>
    <col min="7" max="7" width="12.77734375" style="9" customWidth="1"/>
    <col min="8" max="8" width="9.21875" style="10" customWidth="1"/>
    <col min="9" max="12" width="9.21875" style="10"/>
    <col min="13" max="13" width="6.77734375" style="10" customWidth="1"/>
    <col min="14" max="16384" width="9.21875" style="10"/>
  </cols>
  <sheetData>
    <row r="1" spans="1:7">
      <c r="A1" s="66" t="s">
        <v>680</v>
      </c>
      <c r="B1" s="496" t="str">
        <f>'Info '!C2</f>
        <v>Crystal</v>
      </c>
    </row>
    <row r="2" spans="1:7">
      <c r="A2" s="66" t="s">
        <v>31</v>
      </c>
      <c r="B2" s="497">
        <v>46112</v>
      </c>
    </row>
    <row r="3" spans="1:7" ht="14.4" thickBot="1">
      <c r="A3" s="7"/>
    </row>
    <row r="4" spans="1:7" ht="15" customHeight="1" thickBot="1">
      <c r="A4" s="11" t="s">
        <v>86</v>
      </c>
      <c r="B4" s="12" t="s">
        <v>85</v>
      </c>
      <c r="C4" s="12"/>
      <c r="D4" s="699" t="s">
        <v>628</v>
      </c>
      <c r="E4" s="700"/>
      <c r="F4" s="700"/>
      <c r="G4" s="701"/>
    </row>
    <row r="5" spans="1:7">
      <c r="A5" s="13" t="s">
        <v>7</v>
      </c>
      <c r="B5" s="14"/>
      <c r="C5" s="206" t="str">
        <f>INT((MONTH($B$2))/3)&amp;"Q"&amp;"-"&amp;YEAR($B$2)</f>
        <v>1Q-2026</v>
      </c>
      <c r="D5" s="206" t="str">
        <f>IF(INT(MONTH($B$2))=3, "4"&amp;"Q"&amp;"-"&amp;YEAR($B$2)-1, IF(INT(MONTH($B$2))=6, "1"&amp;"Q"&amp;"-"&amp;YEAR($B$2), IF(INT(MONTH($B$2))=9, "2"&amp;"Q"&amp;"-"&amp;YEAR($B$2),IF(INT(MONTH($B$2))=12, "3"&amp;"Q"&amp;"-"&amp;YEAR($B$2), 0))))</f>
        <v>4Q-2025</v>
      </c>
      <c r="E5" s="206" t="str">
        <f>IF(INT(MONTH($B$2))=3, "3"&amp;"Q"&amp;"-"&amp;YEAR($B$2)-1, IF(INT(MONTH($B$2))=6, "4"&amp;"Q"&amp;"-"&amp;YEAR($B$2)-1, IF(INT(MONTH($B$2))=9, "1"&amp;"Q"&amp;"-"&amp;YEAR($B$2),IF(INT(MONTH($B$2))=12, "2"&amp;"Q"&amp;"-"&amp;YEAR($B$2), 0))))</f>
        <v>3Q-2025</v>
      </c>
      <c r="F5" s="206" t="str">
        <f>IF(INT(MONTH($B$2))=3, "2"&amp;"Q"&amp;"-"&amp;YEAR($B$2)-1, IF(INT(MONTH($B$2))=6, "3"&amp;"Q"&amp;"-"&amp;YEAR($B$2)-1, IF(INT(MONTH($B$2))=9, "4"&amp;"Q"&amp;"-"&amp;YEAR($B$2)-1,IF(INT(MONTH($B$2))=12, "1"&amp;"Q"&amp;"-"&amp;YEAR($B$2), 0))))</f>
        <v>2Q-2025</v>
      </c>
      <c r="G5" s="207" t="str">
        <f>IF(INT(MONTH($B$2))=3, "1"&amp;"Q"&amp;"-"&amp;YEAR($B$2)-1, IF(INT(MONTH($B$2))=6, "2"&amp;"Q"&amp;"-"&amp;YEAR($B$2)-1, IF(INT(MONTH($B$2))=9, "3"&amp;"Q"&amp;"-"&amp;YEAR($B$2)-1,IF(INT(MONTH($B$2))=12, "4"&amp;"Q"&amp;"-"&amp;YEAR($B$2)-1, 0))))</f>
        <v>1Q-2025</v>
      </c>
    </row>
    <row r="6" spans="1:7">
      <c r="B6" s="98" t="s">
        <v>84</v>
      </c>
      <c r="C6" s="209"/>
      <c r="D6" s="209"/>
      <c r="E6" s="209"/>
      <c r="F6" s="209"/>
      <c r="G6" s="210"/>
    </row>
    <row r="7" spans="1:7">
      <c r="A7" s="16"/>
      <c r="B7" s="99" t="s">
        <v>82</v>
      </c>
      <c r="C7" s="209"/>
      <c r="D7" s="209"/>
      <c r="E7" s="209"/>
      <c r="F7" s="209"/>
      <c r="G7" s="210"/>
    </row>
    <row r="8" spans="1:7">
      <c r="A8" s="13">
        <v>1</v>
      </c>
      <c r="B8" s="17" t="s">
        <v>296</v>
      </c>
      <c r="C8" s="18">
        <v>102655906.2013261</v>
      </c>
      <c r="D8" s="18">
        <v>98738856.919999912</v>
      </c>
      <c r="E8" s="19">
        <v>100251680.77656534</v>
      </c>
      <c r="F8" s="19">
        <v>96736791.263049752</v>
      </c>
      <c r="G8" s="20"/>
    </row>
    <row r="9" spans="1:7">
      <c r="A9" s="13">
        <v>2</v>
      </c>
      <c r="B9" s="17" t="s">
        <v>297</v>
      </c>
      <c r="C9" s="18">
        <v>102655906.2013261</v>
      </c>
      <c r="D9" s="18">
        <v>98738856.919999912</v>
      </c>
      <c r="E9" s="19">
        <v>100251680.77656534</v>
      </c>
      <c r="F9" s="19">
        <v>96736791.263049752</v>
      </c>
      <c r="G9" s="20"/>
    </row>
    <row r="10" spans="1:7">
      <c r="A10" s="13">
        <v>3</v>
      </c>
      <c r="B10" s="17" t="s">
        <v>128</v>
      </c>
      <c r="C10" s="18">
        <v>128367858.2013261</v>
      </c>
      <c r="D10" s="18">
        <v>125790732.91999991</v>
      </c>
      <c r="E10" s="19">
        <v>120022040.77656534</v>
      </c>
      <c r="F10" s="19">
        <v>118094603.26304975</v>
      </c>
      <c r="G10" s="20"/>
    </row>
    <row r="11" spans="1:7">
      <c r="A11" s="13">
        <v>4</v>
      </c>
      <c r="B11" s="17" t="s">
        <v>299</v>
      </c>
      <c r="C11" s="18">
        <v>75240601.010841176</v>
      </c>
      <c r="D11" s="18">
        <v>70690455.190567195</v>
      </c>
      <c r="E11" s="19">
        <v>65240220.084318638</v>
      </c>
      <c r="F11" s="19">
        <v>65286875.213134959</v>
      </c>
      <c r="G11" s="20"/>
    </row>
    <row r="12" spans="1:7">
      <c r="A12" s="13">
        <v>5</v>
      </c>
      <c r="B12" s="17" t="s">
        <v>300</v>
      </c>
      <c r="C12" s="18">
        <v>89681218.47652255</v>
      </c>
      <c r="D12" s="18">
        <v>84573981.675026938</v>
      </c>
      <c r="E12" s="19">
        <v>77542813.100212261</v>
      </c>
      <c r="F12" s="19">
        <v>77671112.42268455</v>
      </c>
      <c r="G12" s="20"/>
    </row>
    <row r="13" spans="1:7">
      <c r="A13" s="13">
        <v>6</v>
      </c>
      <c r="B13" s="17" t="s">
        <v>298</v>
      </c>
      <c r="C13" s="18">
        <v>108862304.29431565</v>
      </c>
      <c r="D13" s="18">
        <v>103015098.44755408</v>
      </c>
      <c r="E13" s="19">
        <v>93894360.779564574</v>
      </c>
      <c r="F13" s="19">
        <v>94131174.536642909</v>
      </c>
      <c r="G13" s="20"/>
    </row>
    <row r="14" spans="1:7">
      <c r="A14" s="16"/>
      <c r="B14" s="98" t="s">
        <v>302</v>
      </c>
      <c r="C14" s="209"/>
      <c r="D14" s="209"/>
      <c r="E14" s="209"/>
      <c r="F14" s="209"/>
      <c r="G14" s="210"/>
    </row>
    <row r="15" spans="1:7" ht="15" customHeight="1">
      <c r="A15" s="13">
        <v>7</v>
      </c>
      <c r="B15" s="17" t="s">
        <v>301</v>
      </c>
      <c r="C15" s="143">
        <v>685038779.20689642</v>
      </c>
      <c r="D15" s="143">
        <v>658611313.30454111</v>
      </c>
      <c r="E15" s="19">
        <v>622916102.07056379</v>
      </c>
      <c r="F15" s="19">
        <v>627049985.2936511</v>
      </c>
      <c r="G15" s="20"/>
    </row>
    <row r="16" spans="1:7">
      <c r="A16" s="16"/>
      <c r="B16" s="98" t="s">
        <v>303</v>
      </c>
      <c r="C16" s="209"/>
      <c r="D16" s="209"/>
      <c r="E16" s="209"/>
      <c r="F16" s="209"/>
      <c r="G16" s="210"/>
    </row>
    <row r="17" spans="1:8">
      <c r="A17" s="13"/>
      <c r="B17" s="99" t="s">
        <v>639</v>
      </c>
      <c r="C17" s="5"/>
      <c r="D17" s="5"/>
      <c r="E17" s="4"/>
      <c r="F17" s="4"/>
      <c r="G17" s="20"/>
    </row>
    <row r="18" spans="1:8">
      <c r="A18" s="13">
        <v>8</v>
      </c>
      <c r="B18" s="17" t="s">
        <v>296</v>
      </c>
      <c r="C18" s="356">
        <v>0.14985415324979992</v>
      </c>
      <c r="D18" s="356">
        <v>0.14991977047066482</v>
      </c>
      <c r="E18" s="3">
        <v>0.16093929895748441</v>
      </c>
      <c r="F18" s="3">
        <v>0.15427285468756904</v>
      </c>
      <c r="G18" s="20"/>
    </row>
    <row r="19" spans="1:8" ht="15" customHeight="1">
      <c r="A19" s="13">
        <v>9</v>
      </c>
      <c r="B19" s="17" t="s">
        <v>297</v>
      </c>
      <c r="C19" s="356">
        <v>0.14985415324979992</v>
      </c>
      <c r="D19" s="356">
        <v>0.14991977047066482</v>
      </c>
      <c r="E19" s="3">
        <v>0.16093929895748441</v>
      </c>
      <c r="F19" s="3">
        <v>0.15427285468756904</v>
      </c>
      <c r="G19" s="20"/>
    </row>
    <row r="20" spans="1:8">
      <c r="A20" s="13">
        <v>10</v>
      </c>
      <c r="B20" s="17" t="s">
        <v>128</v>
      </c>
      <c r="C20" s="356">
        <v>0.18738772475033308</v>
      </c>
      <c r="D20" s="356">
        <v>0.19099388422110877</v>
      </c>
      <c r="E20" s="3">
        <v>0.19267769829293846</v>
      </c>
      <c r="F20" s="3">
        <v>0.18833363532852229</v>
      </c>
      <c r="G20" s="20"/>
    </row>
    <row r="21" spans="1:8">
      <c r="A21" s="13">
        <v>11</v>
      </c>
      <c r="B21" s="17" t="s">
        <v>299</v>
      </c>
      <c r="C21" s="356">
        <v>0.10983407552190107</v>
      </c>
      <c r="D21" s="356">
        <v>0.10733258564278565</v>
      </c>
      <c r="E21" s="3">
        <v>0.10473355860839224</v>
      </c>
      <c r="F21" s="3">
        <v>0.10411749739944694</v>
      </c>
      <c r="G21" s="20"/>
    </row>
    <row r="22" spans="1:8">
      <c r="A22" s="13">
        <v>12</v>
      </c>
      <c r="B22" s="17" t="s">
        <v>300</v>
      </c>
      <c r="C22" s="356">
        <v>0.13091407552190107</v>
      </c>
      <c r="D22" s="356">
        <v>0.12841258564278568</v>
      </c>
      <c r="E22" s="3">
        <v>0.12448355860839222</v>
      </c>
      <c r="F22" s="3">
        <v>0.12386749739944691</v>
      </c>
      <c r="G22" s="20"/>
    </row>
    <row r="23" spans="1:8">
      <c r="A23" s="13">
        <v>13</v>
      </c>
      <c r="B23" s="17" t="s">
        <v>298</v>
      </c>
      <c r="C23" s="356">
        <v>0.15891407552190107</v>
      </c>
      <c r="D23" s="356">
        <v>0.15641258564278568</v>
      </c>
      <c r="E23" s="3">
        <v>0.15073355860839224</v>
      </c>
      <c r="F23" s="3">
        <v>0.15011749739944694</v>
      </c>
      <c r="G23" s="20"/>
    </row>
    <row r="24" spans="1:8">
      <c r="A24" s="233"/>
      <c r="B24" s="98"/>
      <c r="C24" s="153"/>
      <c r="D24" s="153"/>
      <c r="E24" s="153"/>
      <c r="F24" s="153"/>
      <c r="G24" s="232"/>
    </row>
    <row r="25" spans="1:8">
      <c r="A25" s="13"/>
      <c r="B25" s="17"/>
      <c r="C25" s="2"/>
      <c r="D25" s="2"/>
      <c r="E25" s="3"/>
      <c r="F25" s="3"/>
      <c r="G25" s="20"/>
      <c r="H25" s="231"/>
    </row>
    <row r="26" spans="1:8">
      <c r="A26" s="16"/>
      <c r="B26" s="98" t="s">
        <v>81</v>
      </c>
      <c r="C26" s="209"/>
      <c r="D26" s="209"/>
      <c r="E26" s="209"/>
      <c r="F26" s="209"/>
      <c r="G26" s="210"/>
    </row>
    <row r="27" spans="1:8" ht="15" customHeight="1">
      <c r="A27" s="211">
        <v>15</v>
      </c>
      <c r="B27" s="17" t="s">
        <v>80</v>
      </c>
      <c r="C27" s="357">
        <v>0.25764509253999535</v>
      </c>
      <c r="D27" s="357">
        <v>0.26953961785575425</v>
      </c>
      <c r="E27" s="1">
        <v>0.27421771082372526</v>
      </c>
      <c r="F27" s="1">
        <v>0.27492358296656155</v>
      </c>
      <c r="G27" s="22"/>
    </row>
    <row r="28" spans="1:8">
      <c r="A28" s="211">
        <v>16</v>
      </c>
      <c r="B28" s="17" t="s">
        <v>79</v>
      </c>
      <c r="C28" s="357">
        <v>7.7533468461083582E-2</v>
      </c>
      <c r="D28" s="357">
        <v>8.2863397585614909E-2</v>
      </c>
      <c r="E28" s="1">
        <v>8.2021427886706771E-2</v>
      </c>
      <c r="F28" s="1">
        <v>8.176704012558797E-2</v>
      </c>
      <c r="G28" s="22"/>
    </row>
    <row r="29" spans="1:8">
      <c r="A29" s="211">
        <v>17</v>
      </c>
      <c r="B29" s="17" t="s">
        <v>78</v>
      </c>
      <c r="C29" s="357">
        <v>9.5456554346999026E-2</v>
      </c>
      <c r="D29" s="357">
        <v>6.6557565596819107E-2</v>
      </c>
      <c r="E29" s="1">
        <v>8.9231692177385941E-2</v>
      </c>
      <c r="F29" s="1">
        <v>8.6420145461373499E-2</v>
      </c>
      <c r="G29" s="22"/>
    </row>
    <row r="30" spans="1:8">
      <c r="A30" s="211">
        <v>18</v>
      </c>
      <c r="B30" s="17" t="s">
        <v>77</v>
      </c>
      <c r="C30" s="357">
        <v>0.18011162407891174</v>
      </c>
      <c r="D30" s="357">
        <v>0.1866762202701393</v>
      </c>
      <c r="E30" s="1">
        <v>0.19219628293701846</v>
      </c>
      <c r="F30" s="1">
        <v>0.19315654284097356</v>
      </c>
      <c r="G30" s="22"/>
    </row>
    <row r="31" spans="1:8">
      <c r="A31" s="211">
        <v>19</v>
      </c>
      <c r="B31" s="17" t="s">
        <v>140</v>
      </c>
      <c r="C31" s="357">
        <v>2.8952283061614091E-2</v>
      </c>
      <c r="D31" s="357">
        <v>2.1878810887854119E-2</v>
      </c>
      <c r="E31" s="1">
        <v>2.6316406975848389E-2</v>
      </c>
      <c r="F31" s="1">
        <v>2.615035059690806E-2</v>
      </c>
      <c r="G31" s="22"/>
    </row>
    <row r="32" spans="1:8">
      <c r="A32" s="211">
        <v>20</v>
      </c>
      <c r="B32" s="17" t="s">
        <v>141</v>
      </c>
      <c r="C32" s="357">
        <v>0.17900917571130465</v>
      </c>
      <c r="D32" s="357">
        <v>0.13435741459754583</v>
      </c>
      <c r="E32" s="1">
        <v>0.16184216312213845</v>
      </c>
      <c r="F32" s="1">
        <v>0.15987830578063861</v>
      </c>
      <c r="G32" s="22"/>
    </row>
    <row r="33" spans="1:7">
      <c r="A33" s="16"/>
      <c r="B33" s="98" t="s">
        <v>192</v>
      </c>
      <c r="C33" s="581"/>
      <c r="D33" s="581"/>
      <c r="E33" s="209"/>
      <c r="F33" s="209"/>
      <c r="G33" s="210"/>
    </row>
    <row r="34" spans="1:7">
      <c r="A34" s="211">
        <v>21</v>
      </c>
      <c r="B34" s="17" t="s">
        <v>76</v>
      </c>
      <c r="C34" s="357">
        <v>3.7060790340365295E-2</v>
      </c>
      <c r="D34" s="357">
        <v>3.5071112531771344E-2</v>
      </c>
      <c r="E34" s="1">
        <v>3.5347092322783456E-2</v>
      </c>
      <c r="F34" s="1">
        <v>3.2004658617543542E-2</v>
      </c>
      <c r="G34" s="22"/>
    </row>
    <row r="35" spans="1:7" ht="15" customHeight="1">
      <c r="A35" s="211">
        <v>22</v>
      </c>
      <c r="B35" s="17" t="s">
        <v>637</v>
      </c>
      <c r="C35" s="357">
        <v>3.6135488087385023E-2</v>
      </c>
      <c r="D35" s="357">
        <v>3.4945615327307125E-2</v>
      </c>
      <c r="E35" s="1">
        <v>3.1599080278168899E-2</v>
      </c>
      <c r="F35" s="1">
        <v>3.0139403070741047E-2</v>
      </c>
      <c r="G35" s="22"/>
    </row>
    <row r="36" spans="1:7">
      <c r="A36" s="211"/>
      <c r="B36" s="17"/>
      <c r="C36" s="357"/>
      <c r="D36" s="357"/>
      <c r="E36" s="1"/>
      <c r="F36" s="21"/>
      <c r="G36" s="22"/>
    </row>
    <row r="37" spans="1:7" ht="15" customHeight="1">
      <c r="A37" s="211">
        <v>24</v>
      </c>
      <c r="B37" s="17" t="s">
        <v>75</v>
      </c>
      <c r="C37" s="357">
        <v>5.5520459639449987E-2</v>
      </c>
      <c r="D37" s="357">
        <v>4.2534322604971503E-2</v>
      </c>
      <c r="E37" s="1">
        <v>2.754878434744382E-2</v>
      </c>
      <c r="F37" s="1">
        <v>2.3717189952980441E-2</v>
      </c>
      <c r="G37" s="22"/>
    </row>
    <row r="38" spans="1:7">
      <c r="A38" s="211">
        <v>25</v>
      </c>
      <c r="B38" s="17" t="s">
        <v>74</v>
      </c>
      <c r="C38" s="582">
        <v>1.6047759951992639E-2</v>
      </c>
      <c r="D38" s="582">
        <v>0.10581687662796491</v>
      </c>
      <c r="E38" s="1">
        <v>8.302363961961054E-2</v>
      </c>
      <c r="F38" s="1">
        <v>7.6781518470049714E-2</v>
      </c>
      <c r="G38" s="22"/>
    </row>
    <row r="39" spans="1:7" ht="15" customHeight="1">
      <c r="A39" s="16"/>
      <c r="B39" s="98" t="s">
        <v>193</v>
      </c>
      <c r="C39" s="209"/>
      <c r="D39" s="209"/>
      <c r="E39" s="209"/>
      <c r="F39" s="209"/>
      <c r="G39" s="210"/>
    </row>
    <row r="40" spans="1:7" ht="15" customHeight="1">
      <c r="A40" s="211">
        <v>26</v>
      </c>
      <c r="B40" s="17" t="s">
        <v>73</v>
      </c>
      <c r="C40" s="358">
        <v>7.9499869334053355E-2</v>
      </c>
      <c r="D40" s="358">
        <v>8.5541568393079651E-2</v>
      </c>
      <c r="E40" s="583">
        <v>9.8405456681662659E-2</v>
      </c>
      <c r="F40" s="583">
        <v>6.0739257647646629E-2</v>
      </c>
      <c r="G40" s="15"/>
    </row>
    <row r="41" spans="1:7" ht="15" customHeight="1">
      <c r="A41" s="211">
        <v>27</v>
      </c>
      <c r="B41" s="17" t="s">
        <v>72</v>
      </c>
      <c r="C41" s="358">
        <v>0.50094936103793042</v>
      </c>
      <c r="D41" s="358">
        <v>0.55333256725997748</v>
      </c>
      <c r="E41" s="583">
        <v>0.52941713148153147</v>
      </c>
      <c r="F41" s="583">
        <v>0.53246174029731519</v>
      </c>
      <c r="G41" s="15"/>
    </row>
    <row r="42" spans="1:7" ht="15" customHeight="1">
      <c r="A42" s="211">
        <v>28</v>
      </c>
      <c r="B42" s="17" t="s">
        <v>71</v>
      </c>
      <c r="C42" s="358">
        <v>1.6159455388123127E-2</v>
      </c>
      <c r="D42" s="358">
        <v>1.5966549730653177E-2</v>
      </c>
      <c r="E42" s="583">
        <v>1.6130557456147585E-2</v>
      </c>
      <c r="F42" s="583">
        <v>1.313401790489944E-2</v>
      </c>
      <c r="G42" s="15"/>
    </row>
    <row r="43" spans="1:7" ht="15" customHeight="1">
      <c r="A43" s="212"/>
      <c r="B43" s="98" t="s">
        <v>232</v>
      </c>
      <c r="C43" s="209"/>
      <c r="D43" s="209"/>
      <c r="E43" s="209"/>
      <c r="F43" s="209"/>
      <c r="G43" s="210"/>
    </row>
    <row r="44" spans="1:7">
      <c r="A44" s="211">
        <v>29</v>
      </c>
      <c r="B44" s="17" t="s">
        <v>217</v>
      </c>
      <c r="C44" s="664">
        <v>41873753.835327305</v>
      </c>
      <c r="D44" s="825">
        <v>44512330.536497548</v>
      </c>
      <c r="E44" s="21">
        <v>53887411.721883014</v>
      </c>
      <c r="F44" s="21">
        <v>25789729.459150422</v>
      </c>
      <c r="G44" s="22"/>
    </row>
    <row r="45" spans="1:7" ht="15" customHeight="1">
      <c r="A45" s="211">
        <v>30</v>
      </c>
      <c r="B45" s="17" t="s">
        <v>229</v>
      </c>
      <c r="C45" s="665">
        <v>9540043.4197955839</v>
      </c>
      <c r="D45" s="825">
        <v>2623699.1570898746</v>
      </c>
      <c r="E45" s="21">
        <v>9224867.2327429466</v>
      </c>
      <c r="F45" s="21">
        <v>2106808.6659945003</v>
      </c>
      <c r="G45" s="22"/>
    </row>
    <row r="46" spans="1:7" ht="15" customHeight="1">
      <c r="A46" s="214">
        <v>31</v>
      </c>
      <c r="B46" s="215" t="s">
        <v>218</v>
      </c>
      <c r="C46" s="359">
        <v>4.3892623956447929</v>
      </c>
      <c r="D46" s="359">
        <v>16.965485702205751</v>
      </c>
      <c r="E46" s="584">
        <v>5.8415379172736328</v>
      </c>
      <c r="F46" s="584">
        <v>12.241135075726779</v>
      </c>
      <c r="G46" s="216"/>
    </row>
    <row r="47" spans="1:7" ht="15" customHeight="1">
      <c r="A47" s="214"/>
      <c r="B47" s="98" t="s">
        <v>306</v>
      </c>
      <c r="C47" s="585"/>
      <c r="D47" s="585"/>
      <c r="E47" s="586"/>
      <c r="F47" s="586"/>
      <c r="G47" s="216"/>
    </row>
    <row r="48" spans="1:7" ht="15" customHeight="1">
      <c r="A48" s="214">
        <v>32</v>
      </c>
      <c r="B48" s="215" t="s">
        <v>313</v>
      </c>
      <c r="C48" s="587">
        <v>474414389.22410578</v>
      </c>
      <c r="D48" s="587">
        <v>471127508.50472397</v>
      </c>
      <c r="E48" s="666">
        <v>453432266.99706942</v>
      </c>
      <c r="F48" s="826">
        <v>424894296.17742962</v>
      </c>
      <c r="G48" s="216"/>
    </row>
    <row r="49" spans="1:7" ht="15" customHeight="1">
      <c r="A49" s="214">
        <v>33</v>
      </c>
      <c r="B49" s="215" t="s">
        <v>328</v>
      </c>
      <c r="C49" s="587">
        <v>426284118.28427815</v>
      </c>
      <c r="D49" s="587">
        <v>418779543.4253397</v>
      </c>
      <c r="E49" s="666">
        <v>407006349.26996481</v>
      </c>
      <c r="F49" s="826">
        <v>400879896.82444221</v>
      </c>
      <c r="G49" s="216"/>
    </row>
    <row r="50" spans="1:7" ht="14.4" thickBot="1">
      <c r="A50" s="213">
        <v>34</v>
      </c>
      <c r="B50" s="100" t="s">
        <v>346</v>
      </c>
      <c r="C50" s="360">
        <v>1.1129065542801451</v>
      </c>
      <c r="D50" s="360">
        <v>1.1250012468403126</v>
      </c>
      <c r="E50" s="588">
        <v>1.1140668144621759</v>
      </c>
      <c r="F50" s="588">
        <v>1.0599042257298847</v>
      </c>
      <c r="G50" s="23"/>
    </row>
    <row r="51" spans="1:7">
      <c r="A51" s="24"/>
    </row>
    <row r="52" spans="1:7">
      <c r="B52" s="145"/>
    </row>
    <row r="53" spans="1:7" ht="52.8">
      <c r="B53" s="145" t="s">
        <v>674</v>
      </c>
    </row>
    <row r="55" spans="1:7" ht="14.4">
      <c r="B55" s="144"/>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42"/>
  <sheetViews>
    <sheetView zoomScale="70" zoomScaleNormal="70" workbookViewId="0">
      <pane xSplit="2" ySplit="6" topLeftCell="C16" activePane="bottomRight" state="frozen"/>
      <selection activeCell="B42" sqref="B42"/>
      <selection pane="topRight" activeCell="B42" sqref="B42"/>
      <selection pane="bottomLeft" activeCell="B42" sqref="B42"/>
      <selection pane="bottomRight" activeCell="D44" sqref="D44"/>
    </sheetView>
  </sheetViews>
  <sheetFormatPr defaultRowHeight="14.4"/>
  <cols>
    <col min="1" max="1" width="9.88671875" style="9" customWidth="1"/>
    <col min="2" max="2" width="82.6640625" style="34" customWidth="1"/>
    <col min="3" max="7" width="17.5546875" style="9" customWidth="1"/>
  </cols>
  <sheetData>
    <row r="1" spans="1:7" ht="14.4" customHeight="1">
      <c r="A1" s="504" t="s">
        <v>680</v>
      </c>
      <c r="B1" s="514" t="str">
        <f>'Info '!C2</f>
        <v>Crystal</v>
      </c>
    </row>
    <row r="2" spans="1:7">
      <c r="A2" s="507" t="s">
        <v>31</v>
      </c>
      <c r="B2" s="497">
        <f>'1. key ratios '!B2</f>
        <v>46112</v>
      </c>
    </row>
    <row r="4" spans="1:7" ht="15" thickBot="1">
      <c r="A4" s="9" t="s">
        <v>345</v>
      </c>
      <c r="B4" s="139" t="s">
        <v>306</v>
      </c>
    </row>
    <row r="5" spans="1:7">
      <c r="A5" s="282"/>
      <c r="B5" s="283"/>
      <c r="C5" s="757" t="s">
        <v>307</v>
      </c>
      <c r="D5" s="757"/>
      <c r="E5" s="757"/>
      <c r="F5" s="757"/>
      <c r="G5" s="758" t="s">
        <v>308</v>
      </c>
    </row>
    <row r="6" spans="1:7">
      <c r="A6" s="284"/>
      <c r="B6" s="285"/>
      <c r="C6" s="286" t="s">
        <v>309</v>
      </c>
      <c r="D6" s="286" t="s">
        <v>310</v>
      </c>
      <c r="E6" s="286" t="s">
        <v>311</v>
      </c>
      <c r="F6" s="286" t="s">
        <v>312</v>
      </c>
      <c r="G6" s="759"/>
    </row>
    <row r="7" spans="1:7">
      <c r="A7" s="287"/>
      <c r="B7" s="288" t="s">
        <v>313</v>
      </c>
      <c r="C7" s="289"/>
      <c r="D7" s="289"/>
      <c r="E7" s="289"/>
      <c r="F7" s="289"/>
      <c r="G7" s="290"/>
    </row>
    <row r="8" spans="1:7">
      <c r="A8" s="87">
        <v>1</v>
      </c>
      <c r="B8" s="291" t="s">
        <v>314</v>
      </c>
      <c r="C8" s="589">
        <f>SUM(C9:C10)</f>
        <v>102655906.2013261</v>
      </c>
      <c r="D8" s="589">
        <f>SUM(D9:D10)</f>
        <v>0</v>
      </c>
      <c r="E8" s="589">
        <f>SUM(E9:E10)</f>
        <v>0</v>
      </c>
      <c r="F8" s="589">
        <f>SUM(F9:F10)</f>
        <v>269425550.34000003</v>
      </c>
      <c r="G8" s="600">
        <f>SUM(G9:G10)</f>
        <v>372081456.54132611</v>
      </c>
    </row>
    <row r="9" spans="1:7">
      <c r="A9" s="87">
        <v>2</v>
      </c>
      <c r="B9" s="292" t="s">
        <v>315</v>
      </c>
      <c r="C9" s="589">
        <v>102655906.2013261</v>
      </c>
      <c r="D9" s="589">
        <v>0</v>
      </c>
      <c r="E9" s="589">
        <v>0</v>
      </c>
      <c r="F9" s="589">
        <v>25711952</v>
      </c>
      <c r="G9" s="600">
        <f>SUM(C9:F9)*100%</f>
        <v>128367858.2013261</v>
      </c>
    </row>
    <row r="10" spans="1:7" ht="27">
      <c r="A10" s="87">
        <v>3</v>
      </c>
      <c r="B10" s="292" t="s">
        <v>316</v>
      </c>
      <c r="C10" s="637"/>
      <c r="D10" s="637"/>
      <c r="E10" s="637"/>
      <c r="F10" s="589">
        <v>243713598.34</v>
      </c>
      <c r="G10" s="600">
        <f>SUM(C10:F10)*100%</f>
        <v>243713598.34</v>
      </c>
    </row>
    <row r="11" spans="1:7" ht="14.55" customHeight="1">
      <c r="A11" s="87">
        <v>4</v>
      </c>
      <c r="B11" s="291" t="s">
        <v>317</v>
      </c>
      <c r="C11" s="589">
        <f t="shared" ref="C11:F11" si="0">SUM(C12:C13)</f>
        <v>10766363.533498906</v>
      </c>
      <c r="D11" s="589">
        <f t="shared" si="0"/>
        <v>29285971.750300929</v>
      </c>
      <c r="E11" s="589">
        <f t="shared" si="0"/>
        <v>24621795.041699998</v>
      </c>
      <c r="F11" s="589">
        <f t="shared" si="0"/>
        <v>4005299.3953999998</v>
      </c>
      <c r="G11" s="600">
        <f>SUM(G12:G13)</f>
        <v>64904843.105579682</v>
      </c>
    </row>
    <row r="12" spans="1:7">
      <c r="A12" s="87">
        <v>5</v>
      </c>
      <c r="B12" s="292" t="s">
        <v>318</v>
      </c>
      <c r="C12" s="589">
        <v>10718137.097498905</v>
      </c>
      <c r="D12" s="589">
        <v>29005324.776800577</v>
      </c>
      <c r="E12" s="589">
        <v>24343745.941699997</v>
      </c>
      <c r="F12" s="589">
        <v>3855299.3953999998</v>
      </c>
      <c r="G12" s="600">
        <f>SUM(C12:F12)*95%</f>
        <v>64526381.850829504</v>
      </c>
    </row>
    <row r="13" spans="1:7">
      <c r="A13" s="87">
        <v>6</v>
      </c>
      <c r="B13" s="292" t="s">
        <v>319</v>
      </c>
      <c r="C13" s="589">
        <v>48226.435999999987</v>
      </c>
      <c r="D13" s="589">
        <v>280646.97350035125</v>
      </c>
      <c r="E13" s="589">
        <v>278049.09999999998</v>
      </c>
      <c r="F13" s="589">
        <v>150000</v>
      </c>
      <c r="G13" s="600">
        <f>SUM(C13:F13)*50%</f>
        <v>378461.25475017563</v>
      </c>
    </row>
    <row r="14" spans="1:7">
      <c r="A14" s="87">
        <v>7</v>
      </c>
      <c r="B14" s="291" t="s">
        <v>320</v>
      </c>
      <c r="C14" s="589">
        <f>SUM(C15:C16)</f>
        <v>201510.22339999999</v>
      </c>
      <c r="D14" s="589">
        <f>SUM(D15:D16)</f>
        <v>128928115.031</v>
      </c>
      <c r="E14" s="589">
        <f>SUM(E15:E16)</f>
        <v>70667431.289999992</v>
      </c>
      <c r="F14" s="589">
        <f>SUM(F15:F16)</f>
        <v>60000</v>
      </c>
      <c r="G14" s="589">
        <f>SUM(G15:G16)</f>
        <v>37428089.577199996</v>
      </c>
    </row>
    <row r="15" spans="1:7" ht="40.200000000000003">
      <c r="A15" s="87">
        <v>8</v>
      </c>
      <c r="B15" s="292" t="s">
        <v>321</v>
      </c>
      <c r="C15" s="589">
        <v>0</v>
      </c>
      <c r="D15" s="589">
        <v>4128747.8643999998</v>
      </c>
      <c r="E15" s="589">
        <v>4686975</v>
      </c>
      <c r="F15" s="589">
        <v>60000</v>
      </c>
      <c r="G15" s="600">
        <f>SUM(C15:F15)*50%</f>
        <v>4437861.4321999997</v>
      </c>
    </row>
    <row r="16" spans="1:7" ht="27">
      <c r="A16" s="87">
        <v>9</v>
      </c>
      <c r="B16" s="292" t="s">
        <v>322</v>
      </c>
      <c r="C16" s="589">
        <v>201510.22339999999</v>
      </c>
      <c r="D16" s="589">
        <v>124799367.1666</v>
      </c>
      <c r="E16" s="589">
        <v>65980456.289999999</v>
      </c>
      <c r="F16" s="589">
        <v>0</v>
      </c>
      <c r="G16" s="600">
        <f>E16*50%</f>
        <v>32990228.145</v>
      </c>
    </row>
    <row r="17" spans="1:7">
      <c r="A17" s="87">
        <v>10</v>
      </c>
      <c r="B17" s="291" t="s">
        <v>323</v>
      </c>
      <c r="C17" s="589">
        <v>0</v>
      </c>
      <c r="D17" s="589">
        <v>0</v>
      </c>
      <c r="E17" s="589">
        <v>0</v>
      </c>
      <c r="F17" s="589">
        <v>0</v>
      </c>
      <c r="G17" s="600">
        <f>SUM(C17:F17)*0%</f>
        <v>0</v>
      </c>
    </row>
    <row r="18" spans="1:7">
      <c r="A18" s="87">
        <v>11</v>
      </c>
      <c r="B18" s="291" t="s">
        <v>324</v>
      </c>
      <c r="C18" s="589">
        <f>SUM(C19:C20)</f>
        <v>0</v>
      </c>
      <c r="D18" s="589">
        <f t="shared" ref="D18:F18" si="1">SUM(D19:D20)</f>
        <v>19573925.03683085</v>
      </c>
      <c r="E18" s="589">
        <f t="shared" si="1"/>
        <v>7071764.0882722754</v>
      </c>
      <c r="F18" s="589">
        <f t="shared" si="1"/>
        <v>2483971.9553968743</v>
      </c>
      <c r="G18" s="600">
        <f>SUM(G19:G20)</f>
        <v>0</v>
      </c>
    </row>
    <row r="19" spans="1:7">
      <c r="A19" s="87">
        <v>12</v>
      </c>
      <c r="B19" s="292" t="s">
        <v>325</v>
      </c>
      <c r="C19" s="637"/>
      <c r="D19" s="589">
        <v>6373596.2956470959</v>
      </c>
      <c r="E19" s="589">
        <v>1426794.2951380298</v>
      </c>
      <c r="F19" s="589">
        <v>2369553.0692148744</v>
      </c>
      <c r="G19" s="600">
        <f>SUM(C19:F19)*0%</f>
        <v>0</v>
      </c>
    </row>
    <row r="20" spans="1:7">
      <c r="A20" s="87">
        <v>13</v>
      </c>
      <c r="B20" s="292" t="s">
        <v>326</v>
      </c>
      <c r="C20" s="589">
        <v>0</v>
      </c>
      <c r="D20" s="589">
        <v>13200328.741183756</v>
      </c>
      <c r="E20" s="589">
        <v>5644969.793134246</v>
      </c>
      <c r="F20" s="589">
        <v>114418.886182</v>
      </c>
      <c r="G20" s="600">
        <f>SUM(C20:F20)*0%</f>
        <v>0</v>
      </c>
    </row>
    <row r="21" spans="1:7">
      <c r="A21" s="293">
        <v>14</v>
      </c>
      <c r="B21" s="294" t="s">
        <v>327</v>
      </c>
      <c r="C21" s="637"/>
      <c r="D21" s="637"/>
      <c r="E21" s="637"/>
      <c r="F21" s="637"/>
      <c r="G21" s="692">
        <f>SUM(G8,G11,G14,G17,G18)</f>
        <v>474414389.22410578</v>
      </c>
    </row>
    <row r="22" spans="1:7">
      <c r="A22" s="295"/>
      <c r="B22" s="296" t="s">
        <v>328</v>
      </c>
      <c r="C22" s="693"/>
      <c r="D22" s="693"/>
      <c r="E22" s="693"/>
      <c r="F22" s="693"/>
      <c r="G22" s="694"/>
    </row>
    <row r="23" spans="1:7">
      <c r="A23" s="87">
        <v>15</v>
      </c>
      <c r="B23" s="291" t="s">
        <v>329</v>
      </c>
      <c r="C23" s="589">
        <v>51215432.35119997</v>
      </c>
      <c r="D23" s="589">
        <v>2350000</v>
      </c>
      <c r="E23" s="589">
        <v>0</v>
      </c>
      <c r="F23" s="589">
        <v>0</v>
      </c>
      <c r="G23" s="600">
        <v>225820.09031500004</v>
      </c>
    </row>
    <row r="24" spans="1:7">
      <c r="A24" s="87">
        <v>16</v>
      </c>
      <c r="B24" s="291" t="s">
        <v>330</v>
      </c>
      <c r="C24" s="589">
        <f>SUM(C25:C27,C29,C31)</f>
        <v>0</v>
      </c>
      <c r="D24" s="589">
        <f t="shared" ref="D24:F24" si="2">SUM(D25:D27,D29,D31)</f>
        <v>163443629.60755917</v>
      </c>
      <c r="E24" s="589">
        <f t="shared" si="2"/>
        <v>117826131.8953312</v>
      </c>
      <c r="F24" s="589">
        <f t="shared" si="2"/>
        <v>256774500.01461393</v>
      </c>
      <c r="G24" s="600">
        <f>SUM(G25:G27,G29,G31)</f>
        <v>358921463.36386704</v>
      </c>
    </row>
    <row r="25" spans="1:7">
      <c r="A25" s="87">
        <v>17</v>
      </c>
      <c r="B25" s="292" t="s">
        <v>331</v>
      </c>
      <c r="C25" s="589">
        <v>0</v>
      </c>
      <c r="D25" s="589">
        <v>0</v>
      </c>
      <c r="E25" s="589">
        <v>0</v>
      </c>
      <c r="F25" s="589">
        <v>0</v>
      </c>
      <c r="G25" s="600">
        <v>0</v>
      </c>
    </row>
    <row r="26" spans="1:7" ht="27">
      <c r="A26" s="87">
        <v>18</v>
      </c>
      <c r="B26" s="292" t="s">
        <v>332</v>
      </c>
      <c r="C26" s="589">
        <v>0</v>
      </c>
      <c r="D26" s="589">
        <v>0</v>
      </c>
      <c r="E26" s="589">
        <v>188384</v>
      </c>
      <c r="F26" s="589">
        <v>188384</v>
      </c>
      <c r="G26" s="600">
        <v>282576</v>
      </c>
    </row>
    <row r="27" spans="1:7">
      <c r="A27" s="87">
        <v>19</v>
      </c>
      <c r="B27" s="292" t="s">
        <v>333</v>
      </c>
      <c r="C27" s="589">
        <v>0</v>
      </c>
      <c r="D27" s="589">
        <v>163443629.60755917</v>
      </c>
      <c r="E27" s="589">
        <v>117637747.8953312</v>
      </c>
      <c r="F27" s="589">
        <v>256586116.01461393</v>
      </c>
      <c r="G27" s="600">
        <v>358638887.36386704</v>
      </c>
    </row>
    <row r="28" spans="1:7">
      <c r="A28" s="87">
        <v>20</v>
      </c>
      <c r="B28" s="297" t="s">
        <v>334</v>
      </c>
      <c r="C28" s="589">
        <v>0</v>
      </c>
      <c r="D28" s="589">
        <v>0</v>
      </c>
      <c r="E28" s="589">
        <v>0</v>
      </c>
      <c r="F28" s="589">
        <v>0</v>
      </c>
      <c r="G28" s="600">
        <v>0</v>
      </c>
    </row>
    <row r="29" spans="1:7">
      <c r="A29" s="87">
        <v>21</v>
      </c>
      <c r="B29" s="292" t="s">
        <v>335</v>
      </c>
      <c r="C29" s="589">
        <v>0</v>
      </c>
      <c r="D29" s="589">
        <v>0</v>
      </c>
      <c r="E29" s="589">
        <v>0</v>
      </c>
      <c r="F29" s="589">
        <v>0</v>
      </c>
      <c r="G29" s="600">
        <v>0</v>
      </c>
    </row>
    <row r="30" spans="1:7">
      <c r="A30" s="87">
        <v>22</v>
      </c>
      <c r="B30" s="297" t="s">
        <v>334</v>
      </c>
      <c r="C30" s="589">
        <v>0</v>
      </c>
      <c r="D30" s="589">
        <v>0</v>
      </c>
      <c r="E30" s="589">
        <v>0</v>
      </c>
      <c r="F30" s="589">
        <v>0</v>
      </c>
      <c r="G30" s="600">
        <v>0</v>
      </c>
    </row>
    <row r="31" spans="1:7">
      <c r="A31" s="87">
        <v>23</v>
      </c>
      <c r="B31" s="292" t="s">
        <v>336</v>
      </c>
      <c r="C31" s="589">
        <v>0</v>
      </c>
      <c r="D31" s="589">
        <v>0</v>
      </c>
      <c r="E31" s="589">
        <v>0</v>
      </c>
      <c r="F31" s="589">
        <v>0</v>
      </c>
      <c r="G31" s="600">
        <v>0</v>
      </c>
    </row>
    <row r="32" spans="1:7">
      <c r="A32" s="87">
        <v>24</v>
      </c>
      <c r="B32" s="291" t="s">
        <v>337</v>
      </c>
      <c r="C32" s="589">
        <v>0</v>
      </c>
      <c r="D32" s="589">
        <v>0</v>
      </c>
      <c r="E32" s="589">
        <v>0</v>
      </c>
      <c r="F32" s="589">
        <v>0</v>
      </c>
      <c r="G32" s="600">
        <v>0</v>
      </c>
    </row>
    <row r="33" spans="1:7">
      <c r="A33" s="87">
        <v>25</v>
      </c>
      <c r="B33" s="291" t="s">
        <v>338</v>
      </c>
      <c r="C33" s="589">
        <f>SUM(C34:C35)</f>
        <v>27795878.870000012</v>
      </c>
      <c r="D33" s="589">
        <f>SUM(D34:D35)</f>
        <v>24833334.29010988</v>
      </c>
      <c r="E33" s="589">
        <f>SUM(E34:E35)</f>
        <v>8247638.4703354398</v>
      </c>
      <c r="F33" s="589">
        <f>SUM(F34:F35)</f>
        <v>17261058.669958465</v>
      </c>
      <c r="G33" s="600">
        <f>SUM(G34:G35)</f>
        <v>67015196.484681129</v>
      </c>
    </row>
    <row r="34" spans="1:7">
      <c r="A34" s="87">
        <v>26</v>
      </c>
      <c r="B34" s="292" t="s">
        <v>339</v>
      </c>
      <c r="C34" s="695"/>
      <c r="D34" s="589">
        <v>0</v>
      </c>
      <c r="E34" s="589">
        <v>0</v>
      </c>
      <c r="F34" s="589">
        <v>0</v>
      </c>
      <c r="G34" s="600">
        <v>0</v>
      </c>
    </row>
    <row r="35" spans="1:7">
      <c r="A35" s="87">
        <v>27</v>
      </c>
      <c r="B35" s="292" t="s">
        <v>340</v>
      </c>
      <c r="C35" s="589">
        <v>27795878.870000012</v>
      </c>
      <c r="D35" s="589">
        <v>24833334.29010988</v>
      </c>
      <c r="E35" s="589">
        <v>8247638.4703354398</v>
      </c>
      <c r="F35" s="589">
        <v>17261058.669958465</v>
      </c>
      <c r="G35" s="600">
        <v>67015196.484681129</v>
      </c>
    </row>
    <row r="36" spans="1:7">
      <c r="A36" s="87">
        <v>28</v>
      </c>
      <c r="B36" s="291" t="s">
        <v>341</v>
      </c>
      <c r="C36" s="589">
        <v>0</v>
      </c>
      <c r="D36" s="589">
        <v>2104430.0512000001</v>
      </c>
      <c r="E36" s="589">
        <v>14768.210000000001</v>
      </c>
      <c r="F36" s="589">
        <v>313568.64709999994</v>
      </c>
      <c r="G36" s="600">
        <v>121638.34541500002</v>
      </c>
    </row>
    <row r="37" spans="1:7">
      <c r="A37" s="293">
        <v>29</v>
      </c>
      <c r="B37" s="294" t="s">
        <v>342</v>
      </c>
      <c r="C37" s="637"/>
      <c r="D37" s="637"/>
      <c r="E37" s="637"/>
      <c r="F37" s="637"/>
      <c r="G37" s="692">
        <f>SUM(G23:G24,G32:G33,G36)</f>
        <v>426284118.28427815</v>
      </c>
    </row>
    <row r="38" spans="1:7">
      <c r="A38" s="287"/>
      <c r="B38" s="298"/>
      <c r="C38" s="299"/>
      <c r="D38" s="299"/>
      <c r="E38" s="299"/>
      <c r="F38" s="299"/>
      <c r="G38" s="300"/>
    </row>
    <row r="39" spans="1:7" ht="15" thickBot="1">
      <c r="A39" s="301">
        <v>30</v>
      </c>
      <c r="B39" s="302" t="s">
        <v>343</v>
      </c>
      <c r="C39" s="303"/>
      <c r="D39" s="304"/>
      <c r="E39" s="304"/>
      <c r="F39" s="305"/>
      <c r="G39" s="306">
        <f>IFERROR(G21/G37,0)</f>
        <v>1.1129065542801451</v>
      </c>
    </row>
    <row r="42" spans="1:7" s="246" customFormat="1" ht="39.6">
      <c r="A42" s="307"/>
      <c r="B42" s="245" t="s">
        <v>344</v>
      </c>
      <c r="C42" s="307"/>
      <c r="D42" s="307"/>
      <c r="E42" s="307"/>
      <c r="F42" s="307"/>
      <c r="G42" s="307"/>
    </row>
  </sheetData>
  <mergeCells count="2">
    <mergeCell ref="C5:F5"/>
    <mergeCell ref="G5:G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26"/>
  <sheetViews>
    <sheetView showGridLines="0" zoomScale="80" zoomScaleNormal="80" workbookViewId="0">
      <pane xSplit="2" ySplit="7" topLeftCell="C8" activePane="bottomRight" state="frozen"/>
      <selection activeCell="B42" sqref="B42"/>
      <selection pane="topRight" activeCell="B42" sqref="B42"/>
      <selection pane="bottomLeft" activeCell="B42" sqref="B42"/>
      <selection pane="bottomRight" activeCell="C8" sqref="C8:G24"/>
    </sheetView>
  </sheetViews>
  <sheetFormatPr defaultColWidth="9.21875" defaultRowHeight="12"/>
  <cols>
    <col min="1" max="1" width="11.77734375" style="308" bestFit="1" customWidth="1"/>
    <col min="2" max="2" width="105.21875" style="308" bestFit="1" customWidth="1"/>
    <col min="3" max="3" width="12.88671875" style="308" customWidth="1"/>
    <col min="4" max="5" width="14.109375" style="308" bestFit="1" customWidth="1"/>
    <col min="6" max="6" width="12.109375" style="308" bestFit="1" customWidth="1"/>
    <col min="7" max="7" width="15.6640625" style="308" bestFit="1" customWidth="1"/>
    <col min="8" max="8" width="14.109375" style="308" bestFit="1" customWidth="1"/>
    <col min="9" max="16384" width="9.21875" style="229"/>
  </cols>
  <sheetData>
    <row r="1" spans="1:8" ht="13.2">
      <c r="A1" s="504" t="s">
        <v>680</v>
      </c>
      <c r="B1" s="516" t="str">
        <f>'Info '!C2</f>
        <v>Crystal</v>
      </c>
    </row>
    <row r="2" spans="1:8">
      <c r="A2" s="515" t="s">
        <v>31</v>
      </c>
      <c r="B2" s="517">
        <f>'1. key ratios '!B2</f>
        <v>46112</v>
      </c>
    </row>
    <row r="3" spans="1:8">
      <c r="A3" s="310" t="s">
        <v>349</v>
      </c>
    </row>
    <row r="5" spans="1:8" ht="12" customHeight="1">
      <c r="A5" s="760" t="s">
        <v>350</v>
      </c>
      <c r="B5" s="761"/>
      <c r="C5" s="766" t="s">
        <v>351</v>
      </c>
      <c r="D5" s="767"/>
      <c r="E5" s="767"/>
      <c r="F5" s="767"/>
      <c r="G5" s="767"/>
      <c r="H5" s="768"/>
    </row>
    <row r="6" spans="1:8">
      <c r="A6" s="762"/>
      <c r="B6" s="763"/>
      <c r="C6" s="769"/>
      <c r="D6" s="770"/>
      <c r="E6" s="770"/>
      <c r="F6" s="770"/>
      <c r="G6" s="770"/>
      <c r="H6" s="771"/>
    </row>
    <row r="7" spans="1:8">
      <c r="A7" s="764"/>
      <c r="B7" s="765"/>
      <c r="C7" s="311" t="s">
        <v>352</v>
      </c>
      <c r="D7" s="311" t="s">
        <v>353</v>
      </c>
      <c r="E7" s="311" t="s">
        <v>354</v>
      </c>
      <c r="F7" s="311" t="s">
        <v>355</v>
      </c>
      <c r="G7" s="311" t="s">
        <v>356</v>
      </c>
      <c r="H7" s="311" t="s">
        <v>62</v>
      </c>
    </row>
    <row r="8" spans="1:8">
      <c r="A8" s="312">
        <v>1</v>
      </c>
      <c r="B8" s="313" t="s">
        <v>50</v>
      </c>
      <c r="C8" s="522">
        <v>0</v>
      </c>
      <c r="D8" s="522">
        <v>27005099.023800001</v>
      </c>
      <c r="E8" s="522">
        <v>0</v>
      </c>
      <c r="F8" s="522">
        <v>0</v>
      </c>
      <c r="G8" s="522">
        <v>0</v>
      </c>
      <c r="H8" s="522">
        <f t="shared" ref="H8:H20" si="0">SUM(C8:G8)</f>
        <v>27005099.023800001</v>
      </c>
    </row>
    <row r="9" spans="1:8">
      <c r="A9" s="312">
        <v>2</v>
      </c>
      <c r="B9" s="313" t="s">
        <v>51</v>
      </c>
      <c r="C9" s="522">
        <v>0</v>
      </c>
      <c r="D9" s="522">
        <v>0</v>
      </c>
      <c r="E9" s="522">
        <v>0</v>
      </c>
      <c r="F9" s="522">
        <v>0</v>
      </c>
      <c r="G9" s="522">
        <v>0</v>
      </c>
      <c r="H9" s="522">
        <f t="shared" si="0"/>
        <v>0</v>
      </c>
    </row>
    <row r="10" spans="1:8">
      <c r="A10" s="312">
        <v>3</v>
      </c>
      <c r="B10" s="313" t="s">
        <v>138</v>
      </c>
      <c r="C10" s="522">
        <v>0</v>
      </c>
      <c r="D10" s="522">
        <v>0</v>
      </c>
      <c r="E10" s="522">
        <v>0</v>
      </c>
      <c r="F10" s="522">
        <v>0</v>
      </c>
      <c r="G10" s="522">
        <v>0</v>
      </c>
      <c r="H10" s="522">
        <f t="shared" si="0"/>
        <v>0</v>
      </c>
    </row>
    <row r="11" spans="1:8">
      <c r="A11" s="312">
        <v>4</v>
      </c>
      <c r="B11" s="313" t="s">
        <v>52</v>
      </c>
      <c r="C11" s="522">
        <v>0</v>
      </c>
      <c r="D11" s="522">
        <v>0</v>
      </c>
      <c r="E11" s="522">
        <v>0</v>
      </c>
      <c r="F11" s="522">
        <v>0</v>
      </c>
      <c r="G11" s="522">
        <v>0</v>
      </c>
      <c r="H11" s="522">
        <f t="shared" si="0"/>
        <v>0</v>
      </c>
    </row>
    <row r="12" spans="1:8">
      <c r="A12" s="312">
        <v>5</v>
      </c>
      <c r="B12" s="313" t="s">
        <v>53</v>
      </c>
      <c r="C12" s="522">
        <v>0</v>
      </c>
      <c r="D12" s="522">
        <v>0</v>
      </c>
      <c r="E12" s="522">
        <v>0</v>
      </c>
      <c r="F12" s="522">
        <v>0</v>
      </c>
      <c r="G12" s="522">
        <v>0</v>
      </c>
      <c r="H12" s="522">
        <f t="shared" si="0"/>
        <v>0</v>
      </c>
    </row>
    <row r="13" spans="1:8">
      <c r="A13" s="312">
        <v>6</v>
      </c>
      <c r="B13" s="313" t="s">
        <v>687</v>
      </c>
      <c r="C13" s="522">
        <v>0</v>
      </c>
      <c r="D13" s="522">
        <v>4721367.4562999997</v>
      </c>
      <c r="E13" s="522">
        <v>188384</v>
      </c>
      <c r="F13" s="522">
        <v>0</v>
      </c>
      <c r="G13" s="522">
        <v>0</v>
      </c>
      <c r="H13" s="522">
        <f t="shared" si="0"/>
        <v>4909751.4562999997</v>
      </c>
    </row>
    <row r="14" spans="1:8">
      <c r="A14" s="312">
        <v>7</v>
      </c>
      <c r="B14" s="313" t="s">
        <v>54</v>
      </c>
      <c r="C14" s="522">
        <v>0</v>
      </c>
      <c r="D14" s="522">
        <v>0</v>
      </c>
      <c r="E14" s="522">
        <v>0</v>
      </c>
      <c r="F14" s="522">
        <v>0</v>
      </c>
      <c r="G14" s="522">
        <v>0</v>
      </c>
      <c r="H14" s="522">
        <f t="shared" si="0"/>
        <v>0</v>
      </c>
    </row>
    <row r="15" spans="1:8">
      <c r="A15" s="312">
        <v>8</v>
      </c>
      <c r="B15" s="315" t="s">
        <v>55</v>
      </c>
      <c r="C15" s="522">
        <v>0</v>
      </c>
      <c r="D15" s="522">
        <v>301765203.402614</v>
      </c>
      <c r="E15" s="522">
        <v>265258452.28853649</v>
      </c>
      <c r="F15" s="522">
        <v>9746973.3191603087</v>
      </c>
      <c r="G15" s="522">
        <v>0</v>
      </c>
      <c r="H15" s="522">
        <f t="shared" si="0"/>
        <v>576770629.01031077</v>
      </c>
    </row>
    <row r="16" spans="1:8">
      <c r="A16" s="312">
        <v>9</v>
      </c>
      <c r="B16" s="313" t="s">
        <v>56</v>
      </c>
      <c r="C16" s="522">
        <v>0</v>
      </c>
      <c r="D16" s="522">
        <v>0</v>
      </c>
      <c r="E16" s="522">
        <v>0</v>
      </c>
      <c r="F16" s="522">
        <v>0</v>
      </c>
      <c r="G16" s="522">
        <v>0</v>
      </c>
      <c r="H16" s="522">
        <f t="shared" si="0"/>
        <v>0</v>
      </c>
    </row>
    <row r="17" spans="1:8">
      <c r="A17" s="312">
        <v>10</v>
      </c>
      <c r="B17" s="316" t="s">
        <v>364</v>
      </c>
      <c r="C17" s="522">
        <v>0</v>
      </c>
      <c r="D17" s="522">
        <v>6724823.7184222899</v>
      </c>
      <c r="E17" s="522">
        <v>5840265.7872010171</v>
      </c>
      <c r="F17" s="522">
        <v>223109.3742988068</v>
      </c>
      <c r="G17" s="522">
        <v>0</v>
      </c>
      <c r="H17" s="522">
        <f t="shared" si="0"/>
        <v>12788198.879922114</v>
      </c>
    </row>
    <row r="18" spans="1:8">
      <c r="A18" s="312">
        <v>11</v>
      </c>
      <c r="B18" s="313" t="s">
        <v>58</v>
      </c>
      <c r="C18" s="522">
        <v>0</v>
      </c>
      <c r="D18" s="522">
        <v>0</v>
      </c>
      <c r="E18" s="522">
        <v>0</v>
      </c>
      <c r="F18" s="522">
        <v>0</v>
      </c>
      <c r="G18" s="522">
        <v>0</v>
      </c>
      <c r="H18" s="522">
        <f t="shared" si="0"/>
        <v>0</v>
      </c>
    </row>
    <row r="19" spans="1:8">
      <c r="A19" s="312">
        <v>12</v>
      </c>
      <c r="B19" s="313" t="s">
        <v>59</v>
      </c>
      <c r="C19" s="522">
        <v>0</v>
      </c>
      <c r="D19" s="522">
        <v>0</v>
      </c>
      <c r="E19" s="522">
        <v>0</v>
      </c>
      <c r="F19" s="522">
        <v>0</v>
      </c>
      <c r="G19" s="522">
        <v>0</v>
      </c>
      <c r="H19" s="522">
        <f t="shared" si="0"/>
        <v>0</v>
      </c>
    </row>
    <row r="20" spans="1:8">
      <c r="A20" s="317">
        <v>13</v>
      </c>
      <c r="B20" s="315" t="s">
        <v>130</v>
      </c>
      <c r="C20" s="522">
        <v>0</v>
      </c>
      <c r="D20" s="522">
        <v>0</v>
      </c>
      <c r="E20" s="522">
        <v>0</v>
      </c>
      <c r="F20" s="522">
        <v>0</v>
      </c>
      <c r="G20" s="522">
        <v>0</v>
      </c>
      <c r="H20" s="522">
        <f t="shared" si="0"/>
        <v>0</v>
      </c>
    </row>
    <row r="21" spans="1:8">
      <c r="A21" s="312">
        <v>14</v>
      </c>
      <c r="B21" s="313" t="s">
        <v>61</v>
      </c>
      <c r="C21" s="522">
        <v>22043931.521100003</v>
      </c>
      <c r="D21" s="522">
        <v>0</v>
      </c>
      <c r="E21" s="522">
        <v>0</v>
      </c>
      <c r="F21" s="522">
        <v>0</v>
      </c>
      <c r="G21" s="522">
        <v>39018193.276000001</v>
      </c>
      <c r="H21" s="522">
        <f>SUM(C21:G21)</f>
        <v>61062124.797100008</v>
      </c>
    </row>
    <row r="22" spans="1:8">
      <c r="A22" s="318">
        <v>15</v>
      </c>
      <c r="B22" s="314" t="s">
        <v>62</v>
      </c>
      <c r="C22" s="522">
        <f>SUM(C18:C21)+SUM(C8:C16)</f>
        <v>22043931.521100003</v>
      </c>
      <c r="D22" s="522">
        <f t="shared" ref="D22:H22" si="1">SUM(D18:D21)+SUM(D8:D16)</f>
        <v>333491669.88271397</v>
      </c>
      <c r="E22" s="522">
        <f t="shared" si="1"/>
        <v>265446836.28853649</v>
      </c>
      <c r="F22" s="522">
        <f t="shared" si="1"/>
        <v>9746973.3191603087</v>
      </c>
      <c r="G22" s="522">
        <f t="shared" si="1"/>
        <v>39018193.276000001</v>
      </c>
      <c r="H22" s="522">
        <f t="shared" si="1"/>
        <v>669747604.28751087</v>
      </c>
    </row>
    <row r="26" spans="1:8" ht="22.8">
      <c r="B26" s="319" t="s">
        <v>449</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6"/>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D7" sqref="D7"/>
    </sheetView>
  </sheetViews>
  <sheetFormatPr defaultColWidth="9.21875" defaultRowHeight="12"/>
  <cols>
    <col min="1" max="1" width="11.77734375" style="332" bestFit="1" customWidth="1"/>
    <col min="2" max="2" width="86.77734375" style="308" customWidth="1"/>
    <col min="3" max="4" width="31.5546875" style="308" customWidth="1"/>
    <col min="5" max="5" width="15.109375" style="308" bestFit="1" customWidth="1"/>
    <col min="6" max="6" width="11.77734375" style="308" bestFit="1" customWidth="1"/>
    <col min="7" max="7" width="21.5546875" style="308" bestFit="1" customWidth="1"/>
    <col min="8" max="8" width="41.44140625" style="308" customWidth="1"/>
    <col min="9" max="16384" width="9.21875" style="229"/>
  </cols>
  <sheetData>
    <row r="1" spans="1:8" ht="13.2">
      <c r="A1" s="504" t="s">
        <v>680</v>
      </c>
      <c r="B1" s="516" t="str">
        <f>'Info '!C2</f>
        <v>Crystal</v>
      </c>
      <c r="C1" s="320"/>
      <c r="D1" s="320"/>
      <c r="E1" s="320"/>
      <c r="F1" s="320"/>
      <c r="G1" s="320"/>
      <c r="H1" s="320"/>
    </row>
    <row r="2" spans="1:8">
      <c r="A2" s="515" t="s">
        <v>31</v>
      </c>
      <c r="B2" s="517">
        <f>'1. key ratios '!B2</f>
        <v>46112</v>
      </c>
      <c r="C2" s="320"/>
      <c r="D2" s="320"/>
      <c r="E2" s="320"/>
      <c r="F2" s="320"/>
      <c r="G2" s="320"/>
      <c r="H2" s="320"/>
    </row>
    <row r="3" spans="1:8">
      <c r="A3" s="310" t="s">
        <v>357</v>
      </c>
      <c r="B3" s="320"/>
      <c r="C3" s="320"/>
      <c r="D3" s="320"/>
      <c r="E3" s="320"/>
      <c r="F3" s="320"/>
      <c r="G3" s="320"/>
      <c r="H3" s="320"/>
    </row>
    <row r="4" spans="1:8">
      <c r="A4" s="321"/>
      <c r="B4" s="320"/>
      <c r="C4" s="322" t="s">
        <v>0</v>
      </c>
      <c r="D4" s="322" t="s">
        <v>1</v>
      </c>
      <c r="E4" s="322" t="s">
        <v>2</v>
      </c>
      <c r="F4" s="322" t="s">
        <v>3</v>
      </c>
      <c r="G4" s="322" t="s">
        <v>4</v>
      </c>
      <c r="H4" s="322" t="s">
        <v>6</v>
      </c>
    </row>
    <row r="5" spans="1:8">
      <c r="A5" s="760" t="s">
        <v>358</v>
      </c>
      <c r="B5" s="761"/>
      <c r="C5" s="774" t="s">
        <v>359</v>
      </c>
      <c r="D5" s="774"/>
      <c r="E5" s="774" t="s">
        <v>594</v>
      </c>
      <c r="F5" s="772" t="s">
        <v>360</v>
      </c>
      <c r="G5" s="772" t="s">
        <v>361</v>
      </c>
      <c r="H5" s="323" t="s">
        <v>593</v>
      </c>
    </row>
    <row r="6" spans="1:8" ht="22.8">
      <c r="A6" s="764"/>
      <c r="B6" s="765"/>
      <c r="C6" s="324" t="s">
        <v>362</v>
      </c>
      <c r="D6" s="324" t="s">
        <v>363</v>
      </c>
      <c r="E6" s="774"/>
      <c r="F6" s="773"/>
      <c r="G6" s="773"/>
      <c r="H6" s="323" t="s">
        <v>592</v>
      </c>
    </row>
    <row r="7" spans="1:8">
      <c r="A7" s="325">
        <v>1</v>
      </c>
      <c r="B7" s="313" t="s">
        <v>50</v>
      </c>
      <c r="C7" s="628">
        <v>0</v>
      </c>
      <c r="D7" s="628">
        <v>27005099.023800001</v>
      </c>
      <c r="E7" s="628">
        <v>0</v>
      </c>
      <c r="F7" s="628">
        <v>0</v>
      </c>
      <c r="G7" s="628">
        <v>0</v>
      </c>
      <c r="H7" s="394">
        <f t="shared" ref="H7:H20" si="0">C7+D7-E7-F7</f>
        <v>27005099.023800001</v>
      </c>
    </row>
    <row r="8" spans="1:8">
      <c r="A8" s="325">
        <v>2</v>
      </c>
      <c r="B8" s="313" t="s">
        <v>51</v>
      </c>
      <c r="C8" s="628">
        <v>0</v>
      </c>
      <c r="D8" s="628">
        <v>0</v>
      </c>
      <c r="E8" s="628">
        <v>0</v>
      </c>
      <c r="F8" s="628">
        <v>0</v>
      </c>
      <c r="G8" s="628">
        <v>0</v>
      </c>
      <c r="H8" s="394">
        <f t="shared" si="0"/>
        <v>0</v>
      </c>
    </row>
    <row r="9" spans="1:8">
      <c r="A9" s="325">
        <v>3</v>
      </c>
      <c r="B9" s="313" t="s">
        <v>138</v>
      </c>
      <c r="C9" s="628">
        <v>0</v>
      </c>
      <c r="D9" s="628">
        <v>0</v>
      </c>
      <c r="E9" s="628">
        <v>0</v>
      </c>
      <c r="F9" s="628">
        <v>0</v>
      </c>
      <c r="G9" s="628">
        <v>0</v>
      </c>
      <c r="H9" s="394">
        <f t="shared" si="0"/>
        <v>0</v>
      </c>
    </row>
    <row r="10" spans="1:8">
      <c r="A10" s="325">
        <v>4</v>
      </c>
      <c r="B10" s="313" t="s">
        <v>52</v>
      </c>
      <c r="C10" s="628">
        <v>0</v>
      </c>
      <c r="D10" s="628">
        <v>0</v>
      </c>
      <c r="E10" s="628">
        <v>0</v>
      </c>
      <c r="F10" s="628">
        <v>0</v>
      </c>
      <c r="G10" s="628">
        <v>0</v>
      </c>
      <c r="H10" s="394">
        <f t="shared" si="0"/>
        <v>0</v>
      </c>
    </row>
    <row r="11" spans="1:8">
      <c r="A11" s="325">
        <v>5</v>
      </c>
      <c r="B11" s="313" t="s">
        <v>53</v>
      </c>
      <c r="C11" s="628">
        <v>0</v>
      </c>
      <c r="D11" s="628">
        <v>0</v>
      </c>
      <c r="E11" s="628">
        <v>0</v>
      </c>
      <c r="F11" s="628">
        <v>0</v>
      </c>
      <c r="G11" s="628">
        <v>0</v>
      </c>
      <c r="H11" s="394">
        <f t="shared" si="0"/>
        <v>0</v>
      </c>
    </row>
    <row r="12" spans="1:8">
      <c r="A12" s="325">
        <v>6</v>
      </c>
      <c r="B12" s="313" t="s">
        <v>687</v>
      </c>
      <c r="C12" s="628">
        <v>0</v>
      </c>
      <c r="D12" s="628">
        <v>4909751.4562999997</v>
      </c>
      <c r="E12" s="628">
        <v>0</v>
      </c>
      <c r="F12" s="628">
        <v>0</v>
      </c>
      <c r="G12" s="628">
        <v>0</v>
      </c>
      <c r="H12" s="394">
        <f t="shared" si="0"/>
        <v>4909751.4562999997</v>
      </c>
    </row>
    <row r="13" spans="1:8">
      <c r="A13" s="325">
        <v>7</v>
      </c>
      <c r="B13" s="313" t="s">
        <v>54</v>
      </c>
      <c r="C13" s="628">
        <v>0</v>
      </c>
      <c r="D13" s="628">
        <v>0</v>
      </c>
      <c r="E13" s="628">
        <v>0</v>
      </c>
      <c r="F13" s="628">
        <v>0</v>
      </c>
      <c r="G13" s="628">
        <v>0</v>
      </c>
      <c r="H13" s="394">
        <f t="shared" si="0"/>
        <v>0</v>
      </c>
    </row>
    <row r="14" spans="1:8">
      <c r="A14" s="325">
        <v>8</v>
      </c>
      <c r="B14" s="315" t="s">
        <v>55</v>
      </c>
      <c r="C14" s="628">
        <v>23734819.726123508</v>
      </c>
      <c r="D14" s="629">
        <v>574595704.00873268</v>
      </c>
      <c r="E14" s="628">
        <v>21559894.521746028</v>
      </c>
      <c r="F14" s="628">
        <v>0</v>
      </c>
      <c r="G14" s="629">
        <v>6078031.9500000002</v>
      </c>
      <c r="H14" s="394">
        <f t="shared" si="0"/>
        <v>576770629.21311009</v>
      </c>
    </row>
    <row r="15" spans="1:8">
      <c r="A15" s="325">
        <v>9</v>
      </c>
      <c r="B15" s="313" t="s">
        <v>56</v>
      </c>
      <c r="C15" s="628">
        <v>0</v>
      </c>
      <c r="D15" s="628">
        <v>0</v>
      </c>
      <c r="E15" s="628">
        <v>0</v>
      </c>
      <c r="F15" s="628">
        <v>0</v>
      </c>
      <c r="G15" s="629">
        <v>0</v>
      </c>
      <c r="H15" s="394">
        <f t="shared" si="0"/>
        <v>0</v>
      </c>
    </row>
    <row r="16" spans="1:8">
      <c r="A16" s="325">
        <v>10</v>
      </c>
      <c r="B16" s="316" t="s">
        <v>364</v>
      </c>
      <c r="C16" s="628">
        <v>15329101.397273935</v>
      </c>
      <c r="D16" s="628">
        <v>9576807.2426481601</v>
      </c>
      <c r="E16" s="628">
        <v>12117709.759999961</v>
      </c>
      <c r="F16" s="628">
        <v>0</v>
      </c>
      <c r="G16" s="629">
        <v>0</v>
      </c>
      <c r="H16" s="394">
        <f t="shared" si="0"/>
        <v>12788198.879922137</v>
      </c>
    </row>
    <row r="17" spans="1:8">
      <c r="A17" s="325">
        <v>11</v>
      </c>
      <c r="B17" s="313" t="s">
        <v>58</v>
      </c>
      <c r="C17" s="628">
        <v>0</v>
      </c>
      <c r="D17" s="628">
        <v>0</v>
      </c>
      <c r="E17" s="628">
        <v>0</v>
      </c>
      <c r="F17" s="628">
        <v>0</v>
      </c>
      <c r="G17" s="629">
        <v>0</v>
      </c>
      <c r="H17" s="394">
        <f t="shared" si="0"/>
        <v>0</v>
      </c>
    </row>
    <row r="18" spans="1:8">
      <c r="A18" s="325">
        <v>12</v>
      </c>
      <c r="B18" s="313" t="s">
        <v>59</v>
      </c>
      <c r="C18" s="628">
        <v>0</v>
      </c>
      <c r="D18" s="628">
        <v>0</v>
      </c>
      <c r="E18" s="628">
        <v>0</v>
      </c>
      <c r="F18" s="628">
        <v>0</v>
      </c>
      <c r="G18" s="629">
        <v>0</v>
      </c>
      <c r="H18" s="394">
        <f t="shared" si="0"/>
        <v>0</v>
      </c>
    </row>
    <row r="19" spans="1:8">
      <c r="A19" s="327">
        <v>13</v>
      </c>
      <c r="B19" s="315" t="s">
        <v>130</v>
      </c>
      <c r="C19" s="628">
        <v>0</v>
      </c>
      <c r="D19" s="628">
        <v>0</v>
      </c>
      <c r="E19" s="628">
        <v>0</v>
      </c>
      <c r="F19" s="628">
        <v>0</v>
      </c>
      <c r="G19" s="629">
        <v>0</v>
      </c>
      <c r="H19" s="394">
        <f t="shared" si="0"/>
        <v>0</v>
      </c>
    </row>
    <row r="20" spans="1:8">
      <c r="A20" s="325">
        <v>14</v>
      </c>
      <c r="B20" s="313" t="s">
        <v>61</v>
      </c>
      <c r="C20" s="628">
        <v>0</v>
      </c>
      <c r="D20" s="628">
        <v>61298228.087100007</v>
      </c>
      <c r="E20" s="628">
        <v>236103.61</v>
      </c>
      <c r="F20" s="628">
        <v>0</v>
      </c>
      <c r="G20" s="629">
        <v>0</v>
      </c>
      <c r="H20" s="394">
        <f t="shared" si="0"/>
        <v>61062124.477100007</v>
      </c>
    </row>
    <row r="21" spans="1:8" s="230" customFormat="1">
      <c r="A21" s="328">
        <v>15</v>
      </c>
      <c r="B21" s="329" t="s">
        <v>62</v>
      </c>
      <c r="C21" s="630">
        <f t="shared" ref="C21:G21" si="1">SUM(C7:C15)+SUM(C17:C20)</f>
        <v>23734819.726123508</v>
      </c>
      <c r="D21" s="630">
        <f t="shared" si="1"/>
        <v>667808782.57593274</v>
      </c>
      <c r="E21" s="630">
        <f t="shared" si="1"/>
        <v>21795998.131746028</v>
      </c>
      <c r="F21" s="630">
        <f t="shared" si="1"/>
        <v>0</v>
      </c>
      <c r="G21" s="696">
        <f t="shared" si="1"/>
        <v>6078031.9500000002</v>
      </c>
      <c r="H21" s="396">
        <f t="shared" ref="H21" si="2">SUM(H7:H15)+SUM(H17:H20)</f>
        <v>669747604.17031014</v>
      </c>
    </row>
    <row r="22" spans="1:8">
      <c r="A22" s="330">
        <v>16</v>
      </c>
      <c r="B22" s="331" t="s">
        <v>365</v>
      </c>
      <c r="C22" s="628">
        <v>21481273.626886722</v>
      </c>
      <c r="D22" s="629">
        <v>558141379.57622325</v>
      </c>
      <c r="E22" s="628">
        <v>20944947.479999483</v>
      </c>
      <c r="F22" s="628">
        <v>0</v>
      </c>
      <c r="G22" s="629">
        <v>6078031.9500000002</v>
      </c>
      <c r="H22" s="394">
        <f>C22+D22-E22-F22</f>
        <v>558677705.72311044</v>
      </c>
    </row>
    <row r="23" spans="1:8">
      <c r="A23" s="330">
        <v>17</v>
      </c>
      <c r="B23" s="331" t="s">
        <v>366</v>
      </c>
      <c r="C23" s="628">
        <v>0</v>
      </c>
      <c r="D23" s="628">
        <v>0</v>
      </c>
      <c r="E23" s="628">
        <v>0</v>
      </c>
      <c r="F23" s="628">
        <v>0</v>
      </c>
      <c r="G23" s="628">
        <v>0</v>
      </c>
      <c r="H23" s="394">
        <f>C23+D23-E23-F23</f>
        <v>0</v>
      </c>
    </row>
    <row r="26" spans="1:8" ht="42.45" customHeight="1">
      <c r="B26" s="319" t="s">
        <v>449</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36"/>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H35" sqref="H35"/>
    </sheetView>
  </sheetViews>
  <sheetFormatPr defaultColWidth="9.21875" defaultRowHeight="12"/>
  <cols>
    <col min="1" max="1" width="11" style="308" bestFit="1" customWidth="1"/>
    <col min="2" max="2" width="93.44140625" style="308" customWidth="1"/>
    <col min="3" max="4" width="35" style="308" customWidth="1"/>
    <col min="5" max="5" width="15.109375" style="308" bestFit="1" customWidth="1"/>
    <col min="6" max="6" width="11.77734375" style="308" bestFit="1" customWidth="1"/>
    <col min="7" max="7" width="22" style="308" customWidth="1"/>
    <col min="8" max="8" width="19.88671875" style="308" customWidth="1"/>
    <col min="9" max="16384" width="9.21875" style="229"/>
  </cols>
  <sheetData>
    <row r="1" spans="1:8" ht="13.2">
      <c r="A1" s="504" t="s">
        <v>680</v>
      </c>
      <c r="B1" s="516" t="str">
        <f>'Info '!C2</f>
        <v>Crystal</v>
      </c>
      <c r="C1" s="320"/>
      <c r="D1" s="320"/>
      <c r="E1" s="320"/>
      <c r="F1" s="320"/>
      <c r="G1" s="320"/>
      <c r="H1" s="320"/>
    </row>
    <row r="2" spans="1:8">
      <c r="A2" s="515" t="s">
        <v>31</v>
      </c>
      <c r="B2" s="517">
        <f>'1. key ratios '!B2</f>
        <v>46112</v>
      </c>
      <c r="C2" s="320"/>
      <c r="D2" s="320"/>
      <c r="E2" s="320"/>
      <c r="F2" s="320"/>
      <c r="G2" s="320"/>
      <c r="H2" s="320"/>
    </row>
    <row r="3" spans="1:8">
      <c r="A3" s="310" t="s">
        <v>367</v>
      </c>
      <c r="B3" s="320"/>
      <c r="C3" s="320"/>
      <c r="D3" s="320"/>
      <c r="E3" s="320"/>
      <c r="F3" s="320"/>
      <c r="G3" s="320"/>
      <c r="H3" s="320"/>
    </row>
    <row r="4" spans="1:8">
      <c r="A4" s="321"/>
      <c r="B4" s="320"/>
      <c r="C4" s="322" t="s">
        <v>0</v>
      </c>
      <c r="D4" s="322" t="s">
        <v>1</v>
      </c>
      <c r="E4" s="322" t="s">
        <v>2</v>
      </c>
      <c r="F4" s="322" t="s">
        <v>3</v>
      </c>
      <c r="G4" s="322" t="s">
        <v>4</v>
      </c>
      <c r="H4" s="322" t="s">
        <v>6</v>
      </c>
    </row>
    <row r="5" spans="1:8" ht="41.55" customHeight="1">
      <c r="A5" s="760" t="s">
        <v>358</v>
      </c>
      <c r="B5" s="761"/>
      <c r="C5" s="774" t="s">
        <v>359</v>
      </c>
      <c r="D5" s="774"/>
      <c r="E5" s="774" t="s">
        <v>594</v>
      </c>
      <c r="F5" s="772" t="s">
        <v>360</v>
      </c>
      <c r="G5" s="772" t="s">
        <v>361</v>
      </c>
      <c r="H5" s="323" t="s">
        <v>593</v>
      </c>
    </row>
    <row r="6" spans="1:8" ht="22.8">
      <c r="A6" s="764"/>
      <c r="B6" s="765"/>
      <c r="C6" s="324" t="s">
        <v>362</v>
      </c>
      <c r="D6" s="324" t="s">
        <v>363</v>
      </c>
      <c r="E6" s="774"/>
      <c r="F6" s="773"/>
      <c r="G6" s="773"/>
      <c r="H6" s="323" t="s">
        <v>592</v>
      </c>
    </row>
    <row r="7" spans="1:8">
      <c r="A7" s="326">
        <v>1</v>
      </c>
      <c r="B7" s="333" t="s">
        <v>453</v>
      </c>
      <c r="C7" s="628">
        <v>0</v>
      </c>
      <c r="D7" s="628">
        <v>0</v>
      </c>
      <c r="E7" s="628">
        <v>0</v>
      </c>
      <c r="F7" s="628">
        <v>0</v>
      </c>
      <c r="G7" s="628">
        <v>0</v>
      </c>
      <c r="H7" s="394">
        <f t="shared" ref="H7:H34" si="0">C7+D7-E7-F7</f>
        <v>0</v>
      </c>
    </row>
    <row r="8" spans="1:8">
      <c r="A8" s="326">
        <v>2</v>
      </c>
      <c r="B8" s="333" t="s">
        <v>368</v>
      </c>
      <c r="C8" s="628">
        <v>0</v>
      </c>
      <c r="D8" s="628">
        <v>68175.605225263149</v>
      </c>
      <c r="E8" s="628">
        <v>2350.5800000000004</v>
      </c>
      <c r="F8" s="628">
        <v>0</v>
      </c>
      <c r="G8" s="628">
        <v>0</v>
      </c>
      <c r="H8" s="394">
        <f t="shared" si="0"/>
        <v>65825.025225263147</v>
      </c>
    </row>
    <row r="9" spans="1:8">
      <c r="A9" s="326">
        <v>3</v>
      </c>
      <c r="B9" s="333" t="s">
        <v>369</v>
      </c>
      <c r="C9" s="628">
        <v>0</v>
      </c>
      <c r="D9" s="628">
        <v>19951.001251540685</v>
      </c>
      <c r="E9" s="628">
        <v>152.85</v>
      </c>
      <c r="F9" s="628">
        <v>0</v>
      </c>
      <c r="G9" s="628">
        <v>0</v>
      </c>
      <c r="H9" s="394">
        <f t="shared" si="0"/>
        <v>19798.151251540687</v>
      </c>
    </row>
    <row r="10" spans="1:8">
      <c r="A10" s="326">
        <v>4</v>
      </c>
      <c r="B10" s="333" t="s">
        <v>454</v>
      </c>
      <c r="C10" s="628">
        <v>0</v>
      </c>
      <c r="D10" s="628">
        <v>0</v>
      </c>
      <c r="E10" s="628">
        <v>0</v>
      </c>
      <c r="F10" s="628">
        <v>0</v>
      </c>
      <c r="G10" s="628">
        <v>0</v>
      </c>
      <c r="H10" s="394">
        <f t="shared" si="0"/>
        <v>0</v>
      </c>
    </row>
    <row r="11" spans="1:8">
      <c r="A11" s="326">
        <v>5</v>
      </c>
      <c r="B11" s="333" t="s">
        <v>370</v>
      </c>
      <c r="C11" s="628">
        <v>14132.954296747101</v>
      </c>
      <c r="D11" s="628">
        <v>1841214.557656779</v>
      </c>
      <c r="E11" s="628">
        <v>39950.379999999961</v>
      </c>
      <c r="F11" s="628">
        <v>0</v>
      </c>
      <c r="G11" s="628">
        <v>0</v>
      </c>
      <c r="H11" s="394">
        <f t="shared" si="0"/>
        <v>1815397.1319535261</v>
      </c>
    </row>
    <row r="12" spans="1:8">
      <c r="A12" s="326">
        <v>6</v>
      </c>
      <c r="B12" s="333" t="s">
        <v>371</v>
      </c>
      <c r="C12" s="628">
        <v>662433.13957807573</v>
      </c>
      <c r="D12" s="628">
        <v>9531215.9711762145</v>
      </c>
      <c r="E12" s="628">
        <v>580151.1100000008</v>
      </c>
      <c r="F12" s="628">
        <v>0</v>
      </c>
      <c r="G12" s="628">
        <v>0</v>
      </c>
      <c r="H12" s="394">
        <f t="shared" si="0"/>
        <v>9613498.0007542893</v>
      </c>
    </row>
    <row r="13" spans="1:8">
      <c r="A13" s="326">
        <v>7</v>
      </c>
      <c r="B13" s="333" t="s">
        <v>372</v>
      </c>
      <c r="C13" s="628">
        <v>87254.039148528595</v>
      </c>
      <c r="D13" s="628">
        <v>2468028.6324646487</v>
      </c>
      <c r="E13" s="628">
        <v>93000.37</v>
      </c>
      <c r="F13" s="628">
        <v>0</v>
      </c>
      <c r="G13" s="628">
        <v>0</v>
      </c>
      <c r="H13" s="394">
        <f t="shared" si="0"/>
        <v>2462282.3016131772</v>
      </c>
    </row>
    <row r="14" spans="1:8">
      <c r="A14" s="326">
        <v>8</v>
      </c>
      <c r="B14" s="333" t="s">
        <v>373</v>
      </c>
      <c r="C14" s="628">
        <v>691439.71285412111</v>
      </c>
      <c r="D14" s="628">
        <v>18004760.684362598</v>
      </c>
      <c r="E14" s="628">
        <v>697561.07000000053</v>
      </c>
      <c r="F14" s="628">
        <v>0</v>
      </c>
      <c r="G14" s="628">
        <v>0</v>
      </c>
      <c r="H14" s="394">
        <f t="shared" si="0"/>
        <v>17998639.327216718</v>
      </c>
    </row>
    <row r="15" spans="1:8">
      <c r="A15" s="326">
        <v>9</v>
      </c>
      <c r="B15" s="333" t="s">
        <v>374</v>
      </c>
      <c r="C15" s="628">
        <v>224014.38986137949</v>
      </c>
      <c r="D15" s="628">
        <v>4281830.1620601956</v>
      </c>
      <c r="E15" s="628">
        <v>226823.78999999992</v>
      </c>
      <c r="F15" s="628">
        <v>0</v>
      </c>
      <c r="G15" s="628">
        <v>0</v>
      </c>
      <c r="H15" s="394">
        <f t="shared" si="0"/>
        <v>4279020.7619215753</v>
      </c>
    </row>
    <row r="16" spans="1:8">
      <c r="A16" s="326">
        <v>10</v>
      </c>
      <c r="B16" s="333" t="s">
        <v>375</v>
      </c>
      <c r="C16" s="628">
        <v>193561.12687790746</v>
      </c>
      <c r="D16" s="628">
        <v>4266013.3744791048</v>
      </c>
      <c r="E16" s="628">
        <v>167346.09000000005</v>
      </c>
      <c r="F16" s="628">
        <v>0</v>
      </c>
      <c r="G16" s="628">
        <v>0</v>
      </c>
      <c r="H16" s="394">
        <f t="shared" si="0"/>
        <v>4292228.4113570126</v>
      </c>
    </row>
    <row r="17" spans="1:8">
      <c r="A17" s="326">
        <v>11</v>
      </c>
      <c r="B17" s="333" t="s">
        <v>376</v>
      </c>
      <c r="C17" s="628">
        <v>456628.22255813424</v>
      </c>
      <c r="D17" s="628">
        <v>13569875.226952726</v>
      </c>
      <c r="E17" s="629">
        <v>513107.96000000084</v>
      </c>
      <c r="F17" s="628">
        <v>0</v>
      </c>
      <c r="G17" s="628">
        <v>0</v>
      </c>
      <c r="H17" s="394">
        <f t="shared" si="0"/>
        <v>13513395.48951086</v>
      </c>
    </row>
    <row r="18" spans="1:8">
      <c r="A18" s="326">
        <v>12</v>
      </c>
      <c r="B18" s="333" t="s">
        <v>377</v>
      </c>
      <c r="C18" s="628">
        <v>279000.03500075918</v>
      </c>
      <c r="D18" s="628">
        <v>8375849.7925647991</v>
      </c>
      <c r="E18" s="629">
        <v>329141.2699999999</v>
      </c>
      <c r="F18" s="628">
        <v>0</v>
      </c>
      <c r="G18" s="629">
        <v>707427.54999999981</v>
      </c>
      <c r="H18" s="394">
        <f t="shared" si="0"/>
        <v>8325708.5575655587</v>
      </c>
    </row>
    <row r="19" spans="1:8">
      <c r="A19" s="326">
        <v>13</v>
      </c>
      <c r="B19" s="333" t="s">
        <v>378</v>
      </c>
      <c r="C19" s="628">
        <v>20468.513521264536</v>
      </c>
      <c r="D19" s="628">
        <v>631016.83269785356</v>
      </c>
      <c r="E19" s="629">
        <v>25435.450000000004</v>
      </c>
      <c r="F19" s="628">
        <v>0</v>
      </c>
      <c r="G19" s="629">
        <v>69540.38</v>
      </c>
      <c r="H19" s="394">
        <f t="shared" si="0"/>
        <v>626049.89621911815</v>
      </c>
    </row>
    <row r="20" spans="1:8">
      <c r="A20" s="326">
        <v>14</v>
      </c>
      <c r="B20" s="333" t="s">
        <v>379</v>
      </c>
      <c r="C20" s="628">
        <v>55076.203802791126</v>
      </c>
      <c r="D20" s="628">
        <v>5284631.3254839415</v>
      </c>
      <c r="E20" s="629">
        <v>111047.12999999984</v>
      </c>
      <c r="F20" s="628">
        <v>0</v>
      </c>
      <c r="G20" s="629">
        <v>0</v>
      </c>
      <c r="H20" s="394">
        <f t="shared" si="0"/>
        <v>5228660.399286733</v>
      </c>
    </row>
    <row r="21" spans="1:8">
      <c r="A21" s="326">
        <v>15</v>
      </c>
      <c r="B21" s="333" t="s">
        <v>380</v>
      </c>
      <c r="C21" s="628">
        <v>112397.80598522205</v>
      </c>
      <c r="D21" s="628">
        <v>2676645.9972751131</v>
      </c>
      <c r="E21" s="629">
        <v>103659.49999999999</v>
      </c>
      <c r="F21" s="628">
        <v>0</v>
      </c>
      <c r="G21" s="629">
        <v>0</v>
      </c>
      <c r="H21" s="394">
        <f t="shared" si="0"/>
        <v>2685384.3032603352</v>
      </c>
    </row>
    <row r="22" spans="1:8">
      <c r="A22" s="326">
        <v>16</v>
      </c>
      <c r="B22" s="333" t="s">
        <v>381</v>
      </c>
      <c r="C22" s="628">
        <v>0</v>
      </c>
      <c r="D22" s="628">
        <v>32518.331750518253</v>
      </c>
      <c r="E22" s="629">
        <v>379.39</v>
      </c>
      <c r="F22" s="628">
        <v>0</v>
      </c>
      <c r="G22" s="629">
        <v>0</v>
      </c>
      <c r="H22" s="394">
        <f t="shared" si="0"/>
        <v>32138.941750518254</v>
      </c>
    </row>
    <row r="23" spans="1:8">
      <c r="A23" s="326">
        <v>17</v>
      </c>
      <c r="B23" s="333" t="s">
        <v>457</v>
      </c>
      <c r="C23" s="628">
        <v>15286.422475990919</v>
      </c>
      <c r="D23" s="628">
        <v>61651.768662641698</v>
      </c>
      <c r="E23" s="629">
        <v>12374.95</v>
      </c>
      <c r="F23" s="628">
        <v>0</v>
      </c>
      <c r="G23" s="629">
        <v>0</v>
      </c>
      <c r="H23" s="394">
        <f t="shared" si="0"/>
        <v>64563.241138632628</v>
      </c>
    </row>
    <row r="24" spans="1:8">
      <c r="A24" s="326">
        <v>18</v>
      </c>
      <c r="B24" s="333" t="s">
        <v>382</v>
      </c>
      <c r="C24" s="628">
        <v>5233.1516565914972</v>
      </c>
      <c r="D24" s="628">
        <v>105022.7414083653</v>
      </c>
      <c r="E24" s="629">
        <v>5194.49</v>
      </c>
      <c r="F24" s="628">
        <v>0</v>
      </c>
      <c r="G24" s="629">
        <v>0</v>
      </c>
      <c r="H24" s="394">
        <f t="shared" si="0"/>
        <v>105061.40306495679</v>
      </c>
    </row>
    <row r="25" spans="1:8">
      <c r="A25" s="326">
        <v>19</v>
      </c>
      <c r="B25" s="333" t="s">
        <v>383</v>
      </c>
      <c r="C25" s="628">
        <v>63178.184032693622</v>
      </c>
      <c r="D25" s="628">
        <v>2933584.3061868013</v>
      </c>
      <c r="E25" s="629">
        <v>87429.499999999942</v>
      </c>
      <c r="F25" s="628">
        <v>0</v>
      </c>
      <c r="G25" s="629">
        <v>0</v>
      </c>
      <c r="H25" s="394">
        <f t="shared" si="0"/>
        <v>2909332.9902194948</v>
      </c>
    </row>
    <row r="26" spans="1:8">
      <c r="A26" s="326">
        <v>20</v>
      </c>
      <c r="B26" s="333" t="s">
        <v>456</v>
      </c>
      <c r="C26" s="628">
        <v>72658.365860843915</v>
      </c>
      <c r="D26" s="628">
        <v>2291319.4149648943</v>
      </c>
      <c r="E26" s="629">
        <v>69043.190000000075</v>
      </c>
      <c r="F26" s="628">
        <v>0</v>
      </c>
      <c r="G26" s="629">
        <v>0</v>
      </c>
      <c r="H26" s="394">
        <f t="shared" si="0"/>
        <v>2294934.5908257384</v>
      </c>
    </row>
    <row r="27" spans="1:8">
      <c r="A27" s="326">
        <v>21</v>
      </c>
      <c r="B27" s="333" t="s">
        <v>384</v>
      </c>
      <c r="C27" s="628">
        <v>0</v>
      </c>
      <c r="D27" s="628">
        <v>374591.37471554533</v>
      </c>
      <c r="E27" s="629">
        <v>3543.7200000000003</v>
      </c>
      <c r="F27" s="628">
        <v>0</v>
      </c>
      <c r="G27" s="629">
        <v>0</v>
      </c>
      <c r="H27" s="394">
        <f t="shared" si="0"/>
        <v>371047.65471554536</v>
      </c>
    </row>
    <row r="28" spans="1:8">
      <c r="A28" s="326">
        <v>22</v>
      </c>
      <c r="B28" s="333" t="s">
        <v>385</v>
      </c>
      <c r="C28" s="628">
        <v>28267.253724972325</v>
      </c>
      <c r="D28" s="628">
        <v>75243.560804464039</v>
      </c>
      <c r="E28" s="629">
        <v>23550.02</v>
      </c>
      <c r="F28" s="628">
        <v>0</v>
      </c>
      <c r="G28" s="629">
        <v>0</v>
      </c>
      <c r="H28" s="394">
        <f t="shared" si="0"/>
        <v>79960.79452943636</v>
      </c>
    </row>
    <row r="29" spans="1:8">
      <c r="A29" s="326">
        <v>23</v>
      </c>
      <c r="B29" s="333" t="s">
        <v>386</v>
      </c>
      <c r="C29" s="628">
        <v>3302709.8709836341</v>
      </c>
      <c r="D29" s="628">
        <v>60713956.337383859</v>
      </c>
      <c r="E29" s="629">
        <v>2783120.1100000059</v>
      </c>
      <c r="F29" s="628">
        <v>0</v>
      </c>
      <c r="G29" s="629">
        <v>2335129.7800000012</v>
      </c>
      <c r="H29" s="394">
        <f t="shared" si="0"/>
        <v>61233546.09836749</v>
      </c>
    </row>
    <row r="30" spans="1:8">
      <c r="A30" s="326">
        <v>24</v>
      </c>
      <c r="B30" s="333" t="s">
        <v>455</v>
      </c>
      <c r="C30" s="628">
        <v>3953075.9701020271</v>
      </c>
      <c r="D30" s="628">
        <v>73992178.810095742</v>
      </c>
      <c r="E30" s="629">
        <v>3997358.479999959</v>
      </c>
      <c r="F30" s="628">
        <v>0</v>
      </c>
      <c r="G30" s="629">
        <v>1379173.6299999992</v>
      </c>
      <c r="H30" s="394">
        <f t="shared" si="0"/>
        <v>73947896.30019781</v>
      </c>
    </row>
    <row r="31" spans="1:8">
      <c r="A31" s="326">
        <v>25</v>
      </c>
      <c r="B31" s="333" t="s">
        <v>387</v>
      </c>
      <c r="C31" s="628">
        <v>11244458.264564991</v>
      </c>
      <c r="D31" s="629">
        <v>346542103.76659554</v>
      </c>
      <c r="E31" s="629">
        <v>11073226.079999767</v>
      </c>
      <c r="F31" s="628">
        <v>0</v>
      </c>
      <c r="G31" s="629">
        <v>1586760.6099999999</v>
      </c>
      <c r="H31" s="394">
        <f t="shared" si="0"/>
        <v>346713335.95116079</v>
      </c>
    </row>
    <row r="32" spans="1:8">
      <c r="A32" s="326">
        <v>26</v>
      </c>
      <c r="B32" s="333" t="s">
        <v>452</v>
      </c>
      <c r="C32" s="628">
        <v>0</v>
      </c>
      <c r="D32" s="628">
        <v>0</v>
      </c>
      <c r="E32" s="628">
        <v>0</v>
      </c>
      <c r="F32" s="628">
        <v>0</v>
      </c>
      <c r="G32" s="629">
        <v>0</v>
      </c>
      <c r="H32" s="394">
        <f t="shared" si="0"/>
        <v>0</v>
      </c>
    </row>
    <row r="33" spans="1:8">
      <c r="A33" s="326">
        <v>27</v>
      </c>
      <c r="B33" s="326" t="s">
        <v>388</v>
      </c>
      <c r="C33" s="628">
        <v>0</v>
      </c>
      <c r="D33" s="628">
        <v>111920949.22720002</v>
      </c>
      <c r="E33" s="628">
        <v>851050.65</v>
      </c>
      <c r="F33" s="628">
        <v>0</v>
      </c>
      <c r="G33" s="628">
        <v>0</v>
      </c>
      <c r="H33" s="394">
        <f t="shared" si="0"/>
        <v>111069898.57720001</v>
      </c>
    </row>
    <row r="34" spans="1:8" s="230" customFormat="1">
      <c r="A34" s="329">
        <v>28</v>
      </c>
      <c r="B34" s="329" t="s">
        <v>62</v>
      </c>
      <c r="C34" s="395">
        <f>SUM(C7:C33)</f>
        <v>21481273.626886673</v>
      </c>
      <c r="D34" s="395">
        <f>SUM(D7:D33)</f>
        <v>670062328.80341911</v>
      </c>
      <c r="E34" s="395">
        <f>SUM(E7:E33)</f>
        <v>21795998.129999734</v>
      </c>
      <c r="F34" s="395">
        <f>SUM(F7:F33)</f>
        <v>0</v>
      </c>
      <c r="G34" s="395">
        <f>SUM(G7:G33)</f>
        <v>6078031.9499999993</v>
      </c>
      <c r="H34" s="396">
        <f t="shared" si="0"/>
        <v>669747604.30030608</v>
      </c>
    </row>
    <row r="36" spans="1:8">
      <c r="B36" s="334"/>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5"/>
  <sheetViews>
    <sheetView showGridLines="0" zoomScale="80" zoomScaleNormal="80" workbookViewId="0">
      <selection activeCell="C22" sqref="C22"/>
    </sheetView>
  </sheetViews>
  <sheetFormatPr defaultColWidth="9.21875" defaultRowHeight="12"/>
  <cols>
    <col min="1" max="1" width="11.77734375" style="308" bestFit="1" customWidth="1"/>
    <col min="2" max="2" width="79.109375" style="308" bestFit="1" customWidth="1"/>
    <col min="3" max="4" width="27.88671875" style="308" customWidth="1"/>
    <col min="5" max="16384" width="9.21875" style="229"/>
  </cols>
  <sheetData>
    <row r="1" spans="1:4" ht="13.2">
      <c r="A1" s="504" t="s">
        <v>680</v>
      </c>
      <c r="B1" s="518" t="str">
        <f>'Info '!C2</f>
        <v>Crystal</v>
      </c>
    </row>
    <row r="2" spans="1:4">
      <c r="A2" s="515" t="s">
        <v>31</v>
      </c>
      <c r="B2" s="517">
        <f>'1. key ratios '!B2</f>
        <v>46112</v>
      </c>
    </row>
    <row r="3" spans="1:4">
      <c r="A3" s="310" t="s">
        <v>389</v>
      </c>
    </row>
    <row r="5" spans="1:4">
      <c r="A5" s="775" t="s">
        <v>601</v>
      </c>
      <c r="B5" s="775"/>
      <c r="C5" s="311" t="s">
        <v>406</v>
      </c>
      <c r="D5" s="311" t="s">
        <v>445</v>
      </c>
    </row>
    <row r="6" spans="1:4">
      <c r="A6" s="335">
        <v>1</v>
      </c>
      <c r="B6" s="336" t="s">
        <v>600</v>
      </c>
      <c r="C6" s="631">
        <v>19935352.349641263</v>
      </c>
      <c r="D6" s="522">
        <v>0</v>
      </c>
    </row>
    <row r="7" spans="1:4">
      <c r="A7" s="338">
        <v>2</v>
      </c>
      <c r="B7" s="336" t="s">
        <v>599</v>
      </c>
      <c r="C7" s="632">
        <f>SUM(C8:C9)</f>
        <v>13080431.282206018</v>
      </c>
      <c r="D7" s="521">
        <f>SUM(D8:D9)</f>
        <v>0</v>
      </c>
    </row>
    <row r="8" spans="1:4">
      <c r="A8" s="339">
        <v>2.1</v>
      </c>
      <c r="B8" s="340" t="s">
        <v>460</v>
      </c>
      <c r="C8" s="632">
        <v>1509993.4899999986</v>
      </c>
      <c r="D8" s="521">
        <v>0</v>
      </c>
    </row>
    <row r="9" spans="1:4">
      <c r="A9" s="339">
        <v>2.2000000000000002</v>
      </c>
      <c r="B9" s="340" t="s">
        <v>458</v>
      </c>
      <c r="C9" s="632">
        <v>11570437.792206019</v>
      </c>
      <c r="D9" s="521">
        <v>0</v>
      </c>
    </row>
    <row r="10" spans="1:4">
      <c r="A10" s="335">
        <v>3</v>
      </c>
      <c r="B10" s="336" t="s">
        <v>598</v>
      </c>
      <c r="C10" s="632">
        <f>SUM(C11:C13)</f>
        <v>12070836.714043992</v>
      </c>
      <c r="D10" s="521">
        <f>SUM(D11:D13)</f>
        <v>0</v>
      </c>
    </row>
    <row r="11" spans="1:4">
      <c r="A11" s="339">
        <v>3.1</v>
      </c>
      <c r="B11" s="340" t="s">
        <v>391</v>
      </c>
      <c r="C11" s="632">
        <v>6078031.9500000002</v>
      </c>
      <c r="D11" s="521">
        <v>0</v>
      </c>
    </row>
    <row r="12" spans="1:4">
      <c r="A12" s="339">
        <v>3.2</v>
      </c>
      <c r="B12" s="340" t="s">
        <v>597</v>
      </c>
      <c r="C12" s="632">
        <v>2786062.7003909969</v>
      </c>
      <c r="D12" s="521">
        <v>0</v>
      </c>
    </row>
    <row r="13" spans="1:4">
      <c r="A13" s="339">
        <v>3.3</v>
      </c>
      <c r="B13" s="340" t="s">
        <v>459</v>
      </c>
      <c r="C13" s="632">
        <v>3206742.0636529946</v>
      </c>
      <c r="D13" s="521">
        <v>0</v>
      </c>
    </row>
    <row r="14" spans="1:4">
      <c r="A14" s="338">
        <v>4</v>
      </c>
      <c r="B14" s="341" t="s">
        <v>596</v>
      </c>
      <c r="C14" s="632">
        <v>0</v>
      </c>
      <c r="D14" s="521">
        <v>0</v>
      </c>
    </row>
    <row r="15" spans="1:4">
      <c r="A15" s="342">
        <v>5</v>
      </c>
      <c r="B15" s="336" t="s">
        <v>595</v>
      </c>
      <c r="C15" s="697">
        <f>C6+C7-C10+C14</f>
        <v>20944946.917803288</v>
      </c>
      <c r="D15" s="522">
        <f>D6+D7-D10+D14</f>
        <v>0</v>
      </c>
    </row>
  </sheetData>
  <mergeCells count="1">
    <mergeCell ref="A5:B5"/>
  </mergeCells>
  <pageMargins left="0.7" right="0.7" top="0.75" bottom="0.75" header="0.3" footer="0.3"/>
  <pageSetup orientation="portrait" horizontalDpi="4294967292"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23"/>
  <sheetViews>
    <sheetView showGridLines="0" zoomScale="80" zoomScaleNormal="80" workbookViewId="0">
      <selection activeCell="D46" sqref="D46"/>
    </sheetView>
  </sheetViews>
  <sheetFormatPr defaultColWidth="9.21875" defaultRowHeight="12"/>
  <cols>
    <col min="1" max="1" width="11.77734375" style="308" bestFit="1" customWidth="1"/>
    <col min="2" max="2" width="69.5546875" style="308" bestFit="1" customWidth="1"/>
    <col min="3" max="3" width="37" style="308" customWidth="1"/>
    <col min="4" max="4" width="50.5546875" style="308" customWidth="1"/>
    <col min="5" max="16384" width="9.21875" style="229"/>
  </cols>
  <sheetData>
    <row r="1" spans="1:4" ht="13.2">
      <c r="A1" s="519" t="s">
        <v>680</v>
      </c>
      <c r="B1" s="518" t="str">
        <f>'Info '!C2</f>
        <v>Crystal</v>
      </c>
    </row>
    <row r="2" spans="1:4">
      <c r="A2" s="520" t="s">
        <v>31</v>
      </c>
      <c r="B2" s="517">
        <f>'1. key ratios '!B2</f>
        <v>46112</v>
      </c>
    </row>
    <row r="3" spans="1:4">
      <c r="A3" s="310" t="s">
        <v>393</v>
      </c>
    </row>
    <row r="4" spans="1:4">
      <c r="A4" s="310"/>
    </row>
    <row r="5" spans="1:4" ht="15" customHeight="1">
      <c r="A5" s="776" t="s">
        <v>461</v>
      </c>
      <c r="B5" s="777"/>
      <c r="C5" s="780" t="s">
        <v>394</v>
      </c>
      <c r="D5" s="780" t="s">
        <v>395</v>
      </c>
    </row>
    <row r="6" spans="1:4">
      <c r="A6" s="778"/>
      <c r="B6" s="779"/>
      <c r="C6" s="780"/>
      <c r="D6" s="780"/>
    </row>
    <row r="7" spans="1:4">
      <c r="A7" s="314">
        <v>1</v>
      </c>
      <c r="B7" s="314" t="s">
        <v>390</v>
      </c>
      <c r="C7" s="633">
        <v>20006944.639271881</v>
      </c>
      <c r="D7" s="343"/>
    </row>
    <row r="8" spans="1:4">
      <c r="A8" s="337">
        <v>2</v>
      </c>
      <c r="B8" s="337" t="s">
        <v>396</v>
      </c>
      <c r="C8" s="634">
        <v>8756586.8699999992</v>
      </c>
      <c r="D8" s="343"/>
    </row>
    <row r="9" spans="1:4">
      <c r="A9" s="337">
        <v>3</v>
      </c>
      <c r="B9" s="344" t="s">
        <v>604</v>
      </c>
      <c r="C9" s="634">
        <v>0</v>
      </c>
      <c r="D9" s="343"/>
    </row>
    <row r="10" spans="1:4">
      <c r="A10" s="337">
        <v>4</v>
      </c>
      <c r="B10" s="337" t="s">
        <v>397</v>
      </c>
      <c r="C10" s="635">
        <f>SUM(C11:C17)</f>
        <v>7282257.8823851617</v>
      </c>
      <c r="D10" s="343"/>
    </row>
    <row r="11" spans="1:4">
      <c r="A11" s="337">
        <v>5</v>
      </c>
      <c r="B11" s="345" t="s">
        <v>603</v>
      </c>
      <c r="C11" s="634">
        <v>320871.26238516136</v>
      </c>
      <c r="D11" s="343"/>
    </row>
    <row r="12" spans="1:4">
      <c r="A12" s="337">
        <v>6</v>
      </c>
      <c r="B12" s="345" t="s">
        <v>398</v>
      </c>
      <c r="C12" s="634">
        <v>795299.48</v>
      </c>
      <c r="D12" s="343"/>
    </row>
    <row r="13" spans="1:4">
      <c r="A13" s="337">
        <v>7</v>
      </c>
      <c r="B13" s="345" t="s">
        <v>401</v>
      </c>
      <c r="C13" s="634">
        <v>3800736.35</v>
      </c>
      <c r="D13" s="343"/>
    </row>
    <row r="14" spans="1:4">
      <c r="A14" s="337">
        <v>8</v>
      </c>
      <c r="B14" s="345" t="s">
        <v>399</v>
      </c>
      <c r="C14" s="634">
        <v>0</v>
      </c>
      <c r="D14" s="337"/>
    </row>
    <row r="15" spans="1:4">
      <c r="A15" s="337">
        <v>9</v>
      </c>
      <c r="B15" s="345" t="s">
        <v>400</v>
      </c>
      <c r="C15" s="634">
        <v>2365350.79</v>
      </c>
      <c r="D15" s="337"/>
    </row>
    <row r="16" spans="1:4">
      <c r="A16" s="337">
        <v>10</v>
      </c>
      <c r="B16" s="345" t="s">
        <v>402</v>
      </c>
      <c r="C16" s="634">
        <v>0</v>
      </c>
      <c r="D16" s="337"/>
    </row>
    <row r="17" spans="1:4">
      <c r="A17" s="337">
        <v>11</v>
      </c>
      <c r="B17" s="345" t="s">
        <v>602</v>
      </c>
      <c r="C17" s="634">
        <v>0</v>
      </c>
      <c r="D17" s="343"/>
    </row>
    <row r="18" spans="1:4">
      <c r="A18" s="314">
        <v>12</v>
      </c>
      <c r="B18" s="346" t="s">
        <v>392</v>
      </c>
      <c r="C18" s="633">
        <f>C7+C8+C9-C10</f>
        <v>21481273.626886722</v>
      </c>
      <c r="D18" s="343"/>
    </row>
    <row r="21" spans="1:4">
      <c r="B21" s="309"/>
    </row>
    <row r="22" spans="1:4">
      <c r="B22" s="309"/>
    </row>
    <row r="23" spans="1:4">
      <c r="B23" s="310"/>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B28"/>
  <sheetViews>
    <sheetView showGridLines="0" zoomScale="70" zoomScaleNormal="70" workbookViewId="0">
      <pane xSplit="2" ySplit="7" topLeftCell="C8" activePane="bottomRight" state="frozen"/>
      <selection activeCell="B42" sqref="B42"/>
      <selection pane="topRight" activeCell="B42" sqref="B42"/>
      <selection pane="bottomLeft" activeCell="B42" sqref="B42"/>
      <selection pane="bottomRight" activeCell="C8" sqref="C8:AA28"/>
    </sheetView>
  </sheetViews>
  <sheetFormatPr defaultColWidth="9.21875" defaultRowHeight="11.4"/>
  <cols>
    <col min="1" max="1" width="11.77734375" style="320" bestFit="1" customWidth="1"/>
    <col min="2" max="2" width="63.88671875" style="320" customWidth="1"/>
    <col min="3" max="3" width="15.5546875" style="320" customWidth="1"/>
    <col min="4" max="18" width="22.21875" style="320" customWidth="1"/>
    <col min="19" max="19" width="23.21875" style="320" bestFit="1" customWidth="1"/>
    <col min="20" max="26" width="22.21875" style="320" customWidth="1"/>
    <col min="27" max="27" width="23.21875" style="320" bestFit="1" customWidth="1"/>
    <col min="28" max="28" width="20" style="320" customWidth="1"/>
    <col min="29" max="16384" width="9.21875" style="320"/>
  </cols>
  <sheetData>
    <row r="1" spans="1:28" ht="13.2">
      <c r="A1" s="504" t="s">
        <v>680</v>
      </c>
      <c r="B1" s="518" t="str">
        <f>'Info '!C2</f>
        <v>Crystal</v>
      </c>
    </row>
    <row r="2" spans="1:28" ht="12">
      <c r="A2" s="515" t="s">
        <v>31</v>
      </c>
      <c r="B2" s="517">
        <f>'1. key ratios '!B2</f>
        <v>46112</v>
      </c>
      <c r="C2" s="321"/>
    </row>
    <row r="3" spans="1:28" ht="12">
      <c r="A3" s="310" t="s">
        <v>403</v>
      </c>
    </row>
    <row r="5" spans="1:28" ht="15" customHeight="1">
      <c r="A5" s="782" t="s">
        <v>613</v>
      </c>
      <c r="B5" s="783"/>
      <c r="C5" s="788" t="s">
        <v>404</v>
      </c>
      <c r="D5" s="789"/>
      <c r="E5" s="789"/>
      <c r="F5" s="789"/>
      <c r="G5" s="789"/>
      <c r="H5" s="789"/>
      <c r="I5" s="789"/>
      <c r="J5" s="789"/>
      <c r="K5" s="789"/>
      <c r="L5" s="789"/>
      <c r="M5" s="789"/>
      <c r="N5" s="789"/>
      <c r="O5" s="789"/>
      <c r="P5" s="789"/>
      <c r="Q5" s="789"/>
      <c r="R5" s="789"/>
      <c r="S5" s="789"/>
      <c r="T5" s="347"/>
      <c r="U5" s="347"/>
      <c r="V5" s="347"/>
      <c r="W5" s="347"/>
      <c r="X5" s="347"/>
      <c r="Y5" s="347"/>
      <c r="Z5" s="347"/>
      <c r="AA5" s="348"/>
      <c r="AB5" s="354"/>
    </row>
    <row r="6" spans="1:28" ht="12" customHeight="1">
      <c r="A6" s="784"/>
      <c r="B6" s="785"/>
      <c r="C6" s="790" t="s">
        <v>62</v>
      </c>
      <c r="D6" s="792" t="s">
        <v>695</v>
      </c>
      <c r="E6" s="792"/>
      <c r="F6" s="792"/>
      <c r="G6" s="792"/>
      <c r="H6" s="792" t="s">
        <v>696</v>
      </c>
      <c r="I6" s="792"/>
      <c r="J6" s="792"/>
      <c r="K6" s="792"/>
      <c r="L6" s="349"/>
      <c r="M6" s="793" t="s">
        <v>697</v>
      </c>
      <c r="N6" s="793"/>
      <c r="O6" s="793"/>
      <c r="P6" s="793"/>
      <c r="Q6" s="793"/>
      <c r="R6" s="793"/>
      <c r="S6" s="773"/>
      <c r="T6" s="350"/>
      <c r="U6" s="781" t="s">
        <v>612</v>
      </c>
      <c r="V6" s="781"/>
      <c r="W6" s="781"/>
      <c r="X6" s="781"/>
      <c r="Y6" s="781"/>
      <c r="Z6" s="781"/>
      <c r="AA6" s="774"/>
      <c r="AB6" s="349"/>
    </row>
    <row r="7" spans="1:28" ht="22.8">
      <c r="A7" s="786"/>
      <c r="B7" s="787"/>
      <c r="C7" s="791"/>
      <c r="D7" s="351"/>
      <c r="E7" s="323" t="s">
        <v>405</v>
      </c>
      <c r="F7" s="323" t="s">
        <v>610</v>
      </c>
      <c r="G7" s="322" t="s">
        <v>611</v>
      </c>
      <c r="H7" s="321"/>
      <c r="I7" s="323" t="s">
        <v>405</v>
      </c>
      <c r="J7" s="323" t="s">
        <v>610</v>
      </c>
      <c r="K7" s="322" t="s">
        <v>611</v>
      </c>
      <c r="L7" s="352"/>
      <c r="M7" s="323" t="s">
        <v>405</v>
      </c>
      <c r="N7" s="323" t="s">
        <v>610</v>
      </c>
      <c r="O7" s="323" t="s">
        <v>609</v>
      </c>
      <c r="P7" s="323" t="s">
        <v>608</v>
      </c>
      <c r="Q7" s="323" t="s">
        <v>607</v>
      </c>
      <c r="R7" s="323" t="s">
        <v>606</v>
      </c>
      <c r="S7" s="323" t="s">
        <v>605</v>
      </c>
      <c r="T7" s="352"/>
      <c r="U7" s="323" t="s">
        <v>405</v>
      </c>
      <c r="V7" s="323" t="s">
        <v>610</v>
      </c>
      <c r="W7" s="323" t="s">
        <v>609</v>
      </c>
      <c r="X7" s="323" t="s">
        <v>608</v>
      </c>
      <c r="Y7" s="323" t="s">
        <v>607</v>
      </c>
      <c r="Z7" s="323" t="s">
        <v>606</v>
      </c>
      <c r="AA7" s="323" t="s">
        <v>605</v>
      </c>
      <c r="AB7" s="354"/>
    </row>
    <row r="8" spans="1:28" ht="12">
      <c r="A8" s="353">
        <v>1</v>
      </c>
      <c r="B8" s="329" t="s">
        <v>406</v>
      </c>
      <c r="C8" s="397">
        <v>579622653.20311058</v>
      </c>
      <c r="D8" s="397">
        <v>527370205.20292479</v>
      </c>
      <c r="E8" s="397">
        <v>1456103.8326993838</v>
      </c>
      <c r="F8" s="397">
        <v>0</v>
      </c>
      <c r="G8" s="397">
        <v>0</v>
      </c>
      <c r="H8" s="397">
        <v>30771174.37329907</v>
      </c>
      <c r="I8" s="397">
        <v>4575478.9106059065</v>
      </c>
      <c r="J8" s="397">
        <v>3545224.4993428541</v>
      </c>
      <c r="K8" s="397">
        <v>0</v>
      </c>
      <c r="L8" s="397">
        <v>21481273.626886696</v>
      </c>
      <c r="M8" s="397">
        <v>2134603.6813082225</v>
      </c>
      <c r="N8" s="397">
        <v>4452009.1312999371</v>
      </c>
      <c r="O8" s="397">
        <v>8742488.5846657716</v>
      </c>
      <c r="P8" s="397">
        <v>0</v>
      </c>
      <c r="Q8" s="397">
        <v>0</v>
      </c>
      <c r="R8" s="397">
        <v>0</v>
      </c>
      <c r="S8" s="397">
        <v>0</v>
      </c>
      <c r="T8" s="397">
        <v>0</v>
      </c>
      <c r="U8" s="397">
        <v>0</v>
      </c>
      <c r="V8" s="397">
        <v>0</v>
      </c>
      <c r="W8" s="397">
        <v>0</v>
      </c>
      <c r="X8" s="397">
        <v>0</v>
      </c>
      <c r="Y8" s="397">
        <v>0</v>
      </c>
      <c r="Z8" s="397">
        <v>0</v>
      </c>
      <c r="AA8" s="397">
        <v>0</v>
      </c>
    </row>
    <row r="9" spans="1:28">
      <c r="A9" s="326">
        <v>1.1000000000000001</v>
      </c>
      <c r="B9" s="338" t="s">
        <v>407</v>
      </c>
      <c r="C9" s="398">
        <v>0</v>
      </c>
      <c r="D9" s="399">
        <v>0</v>
      </c>
      <c r="E9" s="399">
        <v>0</v>
      </c>
      <c r="F9" s="399">
        <v>0</v>
      </c>
      <c r="G9" s="399">
        <v>0</v>
      </c>
      <c r="H9" s="399">
        <v>0</v>
      </c>
      <c r="I9" s="399">
        <v>0</v>
      </c>
      <c r="J9" s="399">
        <v>0</v>
      </c>
      <c r="K9" s="399">
        <v>0</v>
      </c>
      <c r="L9" s="399">
        <v>0</v>
      </c>
      <c r="M9" s="399">
        <v>0</v>
      </c>
      <c r="N9" s="399">
        <v>0</v>
      </c>
      <c r="O9" s="399">
        <v>0</v>
      </c>
      <c r="P9" s="399">
        <v>0</v>
      </c>
      <c r="Q9" s="399">
        <v>0</v>
      </c>
      <c r="R9" s="399">
        <v>0</v>
      </c>
      <c r="S9" s="399">
        <v>0</v>
      </c>
      <c r="T9" s="399">
        <v>0</v>
      </c>
      <c r="U9" s="399">
        <v>0</v>
      </c>
      <c r="V9" s="399">
        <v>0</v>
      </c>
      <c r="W9" s="399">
        <v>0</v>
      </c>
      <c r="X9" s="399">
        <v>0</v>
      </c>
      <c r="Y9" s="399">
        <v>0</v>
      </c>
      <c r="Z9" s="399">
        <v>0</v>
      </c>
      <c r="AA9" s="399">
        <v>0</v>
      </c>
    </row>
    <row r="10" spans="1:28">
      <c r="A10" s="326">
        <v>1.2</v>
      </c>
      <c r="B10" s="338" t="s">
        <v>408</v>
      </c>
      <c r="C10" s="398">
        <v>0</v>
      </c>
      <c r="D10" s="399">
        <v>0</v>
      </c>
      <c r="E10" s="399">
        <v>0</v>
      </c>
      <c r="F10" s="399">
        <v>0</v>
      </c>
      <c r="G10" s="399">
        <v>0</v>
      </c>
      <c r="H10" s="399">
        <v>0</v>
      </c>
      <c r="I10" s="399">
        <v>0</v>
      </c>
      <c r="J10" s="399">
        <v>0</v>
      </c>
      <c r="K10" s="399">
        <v>0</v>
      </c>
      <c r="L10" s="399">
        <v>0</v>
      </c>
      <c r="M10" s="399">
        <v>0</v>
      </c>
      <c r="N10" s="399">
        <v>0</v>
      </c>
      <c r="O10" s="399">
        <v>0</v>
      </c>
      <c r="P10" s="399">
        <v>0</v>
      </c>
      <c r="Q10" s="399">
        <v>0</v>
      </c>
      <c r="R10" s="399">
        <v>0</v>
      </c>
      <c r="S10" s="399">
        <v>0</v>
      </c>
      <c r="T10" s="399">
        <v>0</v>
      </c>
      <c r="U10" s="399">
        <v>0</v>
      </c>
      <c r="V10" s="399">
        <v>0</v>
      </c>
      <c r="W10" s="399">
        <v>0</v>
      </c>
      <c r="X10" s="399">
        <v>0</v>
      </c>
      <c r="Y10" s="399">
        <v>0</v>
      </c>
      <c r="Z10" s="399">
        <v>0</v>
      </c>
      <c r="AA10" s="399">
        <v>0</v>
      </c>
    </row>
    <row r="11" spans="1:28">
      <c r="A11" s="326">
        <v>1.3</v>
      </c>
      <c r="B11" s="338" t="s">
        <v>409</v>
      </c>
      <c r="C11" s="398">
        <v>0</v>
      </c>
      <c r="D11" s="399">
        <v>0</v>
      </c>
      <c r="E11" s="399">
        <v>0</v>
      </c>
      <c r="F11" s="399">
        <v>0</v>
      </c>
      <c r="G11" s="399">
        <v>0</v>
      </c>
      <c r="H11" s="399">
        <v>0</v>
      </c>
      <c r="I11" s="399">
        <v>0</v>
      </c>
      <c r="J11" s="399">
        <v>0</v>
      </c>
      <c r="K11" s="399">
        <v>0</v>
      </c>
      <c r="L11" s="399">
        <v>0</v>
      </c>
      <c r="M11" s="399">
        <v>0</v>
      </c>
      <c r="N11" s="399">
        <v>0</v>
      </c>
      <c r="O11" s="399">
        <v>0</v>
      </c>
      <c r="P11" s="399">
        <v>0</v>
      </c>
      <c r="Q11" s="399">
        <v>0</v>
      </c>
      <c r="R11" s="399">
        <v>0</v>
      </c>
      <c r="S11" s="399">
        <v>0</v>
      </c>
      <c r="T11" s="399">
        <v>0</v>
      </c>
      <c r="U11" s="399">
        <v>0</v>
      </c>
      <c r="V11" s="399">
        <v>0</v>
      </c>
      <c r="W11" s="399">
        <v>0</v>
      </c>
      <c r="X11" s="399">
        <v>0</v>
      </c>
      <c r="Y11" s="399">
        <v>0</v>
      </c>
      <c r="Z11" s="399">
        <v>0</v>
      </c>
      <c r="AA11" s="399">
        <v>0</v>
      </c>
    </row>
    <row r="12" spans="1:28">
      <c r="A12" s="326">
        <v>1.4</v>
      </c>
      <c r="B12" s="338" t="s">
        <v>410</v>
      </c>
      <c r="C12" s="398">
        <v>0</v>
      </c>
      <c r="D12" s="399">
        <v>0</v>
      </c>
      <c r="E12" s="399">
        <v>0</v>
      </c>
      <c r="F12" s="399">
        <v>0</v>
      </c>
      <c r="G12" s="399">
        <v>0</v>
      </c>
      <c r="H12" s="399">
        <v>0</v>
      </c>
      <c r="I12" s="399">
        <v>0</v>
      </c>
      <c r="J12" s="399">
        <v>0</v>
      </c>
      <c r="K12" s="399">
        <v>0</v>
      </c>
      <c r="L12" s="399">
        <v>0</v>
      </c>
      <c r="M12" s="399">
        <v>0</v>
      </c>
      <c r="N12" s="399">
        <v>0</v>
      </c>
      <c r="O12" s="399">
        <v>0</v>
      </c>
      <c r="P12" s="399">
        <v>0</v>
      </c>
      <c r="Q12" s="399">
        <v>0</v>
      </c>
      <c r="R12" s="399">
        <v>0</v>
      </c>
      <c r="S12" s="399">
        <v>0</v>
      </c>
      <c r="T12" s="399">
        <v>0</v>
      </c>
      <c r="U12" s="399">
        <v>0</v>
      </c>
      <c r="V12" s="399">
        <v>0</v>
      </c>
      <c r="W12" s="399">
        <v>0</v>
      </c>
      <c r="X12" s="399">
        <v>0</v>
      </c>
      <c r="Y12" s="399">
        <v>0</v>
      </c>
      <c r="Z12" s="399">
        <v>0</v>
      </c>
      <c r="AA12" s="399">
        <v>0</v>
      </c>
    </row>
    <row r="13" spans="1:28">
      <c r="A13" s="326">
        <v>1.5</v>
      </c>
      <c r="B13" s="338" t="s">
        <v>411</v>
      </c>
      <c r="C13" s="398">
        <v>0</v>
      </c>
      <c r="D13" s="399">
        <v>0</v>
      </c>
      <c r="E13" s="399">
        <v>0</v>
      </c>
      <c r="F13" s="399">
        <v>0</v>
      </c>
      <c r="G13" s="399">
        <v>0</v>
      </c>
      <c r="H13" s="399">
        <v>0</v>
      </c>
      <c r="I13" s="399">
        <v>0</v>
      </c>
      <c r="J13" s="399">
        <v>0</v>
      </c>
      <c r="K13" s="399">
        <v>0</v>
      </c>
      <c r="L13" s="399">
        <v>0</v>
      </c>
      <c r="M13" s="399">
        <v>0</v>
      </c>
      <c r="N13" s="399">
        <v>0</v>
      </c>
      <c r="O13" s="399">
        <v>0</v>
      </c>
      <c r="P13" s="399">
        <v>0</v>
      </c>
      <c r="Q13" s="399">
        <v>0</v>
      </c>
      <c r="R13" s="399">
        <v>0</v>
      </c>
      <c r="S13" s="399">
        <v>0</v>
      </c>
      <c r="T13" s="399">
        <v>0</v>
      </c>
      <c r="U13" s="399">
        <v>0</v>
      </c>
      <c r="V13" s="399">
        <v>0</v>
      </c>
      <c r="W13" s="399">
        <v>0</v>
      </c>
      <c r="X13" s="399">
        <v>0</v>
      </c>
      <c r="Y13" s="399">
        <v>0</v>
      </c>
      <c r="Z13" s="399">
        <v>0</v>
      </c>
      <c r="AA13" s="399">
        <v>0</v>
      </c>
    </row>
    <row r="14" spans="1:28">
      <c r="A14" s="326">
        <v>1.6</v>
      </c>
      <c r="B14" s="338" t="s">
        <v>412</v>
      </c>
      <c r="C14" s="400">
        <v>579622653.20311058</v>
      </c>
      <c r="D14" s="401">
        <v>527370205.20292479</v>
      </c>
      <c r="E14" s="399">
        <v>1456103.8326993838</v>
      </c>
      <c r="F14" s="399">
        <v>0</v>
      </c>
      <c r="G14" s="399">
        <v>0</v>
      </c>
      <c r="H14" s="399">
        <v>30771174.37329907</v>
      </c>
      <c r="I14" s="399">
        <v>4575478.9106059065</v>
      </c>
      <c r="J14" s="399">
        <v>3545224.4993428541</v>
      </c>
      <c r="K14" s="399">
        <v>0</v>
      </c>
      <c r="L14" s="399">
        <v>21481273.626886696</v>
      </c>
      <c r="M14" s="399">
        <v>2134603.6813082225</v>
      </c>
      <c r="N14" s="399">
        <v>4452009.1312999371</v>
      </c>
      <c r="O14" s="399">
        <v>8742488.5846657716</v>
      </c>
      <c r="P14" s="399">
        <v>0</v>
      </c>
      <c r="Q14" s="399">
        <v>0</v>
      </c>
      <c r="R14" s="399">
        <v>0</v>
      </c>
      <c r="S14" s="399">
        <v>0</v>
      </c>
      <c r="T14" s="399">
        <v>0</v>
      </c>
      <c r="U14" s="399">
        <v>0</v>
      </c>
      <c r="V14" s="399">
        <v>0</v>
      </c>
      <c r="W14" s="399">
        <v>0</v>
      </c>
      <c r="X14" s="399">
        <v>0</v>
      </c>
      <c r="Y14" s="399">
        <v>0</v>
      </c>
      <c r="Z14" s="399">
        <v>0</v>
      </c>
      <c r="AA14" s="399">
        <v>0</v>
      </c>
    </row>
    <row r="15" spans="1:28" ht="12">
      <c r="A15" s="353">
        <v>2</v>
      </c>
      <c r="B15" s="329" t="s">
        <v>413</v>
      </c>
      <c r="C15" s="397">
        <v>0</v>
      </c>
      <c r="D15" s="397">
        <v>0</v>
      </c>
      <c r="E15" s="397">
        <v>0</v>
      </c>
      <c r="F15" s="397">
        <v>0</v>
      </c>
      <c r="G15" s="397">
        <v>0</v>
      </c>
      <c r="H15" s="397">
        <v>0</v>
      </c>
      <c r="I15" s="397">
        <v>0</v>
      </c>
      <c r="J15" s="397">
        <v>0</v>
      </c>
      <c r="K15" s="397">
        <v>0</v>
      </c>
      <c r="L15" s="397">
        <v>0</v>
      </c>
      <c r="M15" s="397">
        <v>0</v>
      </c>
      <c r="N15" s="397">
        <v>0</v>
      </c>
      <c r="O15" s="397">
        <v>0</v>
      </c>
      <c r="P15" s="397">
        <v>0</v>
      </c>
      <c r="Q15" s="397">
        <v>0</v>
      </c>
      <c r="R15" s="397">
        <v>0</v>
      </c>
      <c r="S15" s="397">
        <v>0</v>
      </c>
      <c r="T15" s="397">
        <v>0</v>
      </c>
      <c r="U15" s="397">
        <v>0</v>
      </c>
      <c r="V15" s="397">
        <v>0</v>
      </c>
      <c r="W15" s="397">
        <v>0</v>
      </c>
      <c r="X15" s="397">
        <v>0</v>
      </c>
      <c r="Y15" s="397">
        <v>0</v>
      </c>
      <c r="Z15" s="397">
        <v>0</v>
      </c>
      <c r="AA15" s="397">
        <v>0</v>
      </c>
    </row>
    <row r="16" spans="1:28">
      <c r="A16" s="326">
        <v>2.1</v>
      </c>
      <c r="B16" s="338" t="s">
        <v>407</v>
      </c>
      <c r="C16" s="398">
        <v>0</v>
      </c>
      <c r="D16" s="399">
        <v>0</v>
      </c>
      <c r="E16" s="399">
        <v>0</v>
      </c>
      <c r="F16" s="399">
        <v>0</v>
      </c>
      <c r="G16" s="399">
        <v>0</v>
      </c>
      <c r="H16" s="399">
        <v>0</v>
      </c>
      <c r="I16" s="399">
        <v>0</v>
      </c>
      <c r="J16" s="399">
        <v>0</v>
      </c>
      <c r="K16" s="399">
        <v>0</v>
      </c>
      <c r="L16" s="399">
        <v>0</v>
      </c>
      <c r="M16" s="399">
        <v>0</v>
      </c>
      <c r="N16" s="399">
        <v>0</v>
      </c>
      <c r="O16" s="399">
        <v>0</v>
      </c>
      <c r="P16" s="399">
        <v>0</v>
      </c>
      <c r="Q16" s="399">
        <v>0</v>
      </c>
      <c r="R16" s="399">
        <v>0</v>
      </c>
      <c r="S16" s="399">
        <v>0</v>
      </c>
      <c r="T16" s="399">
        <v>0</v>
      </c>
      <c r="U16" s="399">
        <v>0</v>
      </c>
      <c r="V16" s="399">
        <v>0</v>
      </c>
      <c r="W16" s="399">
        <v>0</v>
      </c>
      <c r="X16" s="399">
        <v>0</v>
      </c>
      <c r="Y16" s="399">
        <v>0</v>
      </c>
      <c r="Z16" s="399">
        <v>0</v>
      </c>
      <c r="AA16" s="399">
        <v>0</v>
      </c>
    </row>
    <row r="17" spans="1:27">
      <c r="A17" s="326">
        <v>2.2000000000000002</v>
      </c>
      <c r="B17" s="338" t="s">
        <v>408</v>
      </c>
      <c r="C17" s="398">
        <v>0</v>
      </c>
      <c r="D17" s="399">
        <v>0</v>
      </c>
      <c r="E17" s="399">
        <v>0</v>
      </c>
      <c r="F17" s="399">
        <v>0</v>
      </c>
      <c r="G17" s="399">
        <v>0</v>
      </c>
      <c r="H17" s="399">
        <v>0</v>
      </c>
      <c r="I17" s="399">
        <v>0</v>
      </c>
      <c r="J17" s="399">
        <v>0</v>
      </c>
      <c r="K17" s="399">
        <v>0</v>
      </c>
      <c r="L17" s="399">
        <v>0</v>
      </c>
      <c r="M17" s="399">
        <v>0</v>
      </c>
      <c r="N17" s="399">
        <v>0</v>
      </c>
      <c r="O17" s="399">
        <v>0</v>
      </c>
      <c r="P17" s="399">
        <v>0</v>
      </c>
      <c r="Q17" s="399">
        <v>0</v>
      </c>
      <c r="R17" s="399">
        <v>0</v>
      </c>
      <c r="S17" s="399">
        <v>0</v>
      </c>
      <c r="T17" s="399">
        <v>0</v>
      </c>
      <c r="U17" s="399">
        <v>0</v>
      </c>
      <c r="V17" s="399">
        <v>0</v>
      </c>
      <c r="W17" s="399">
        <v>0</v>
      </c>
      <c r="X17" s="399">
        <v>0</v>
      </c>
      <c r="Y17" s="399">
        <v>0</v>
      </c>
      <c r="Z17" s="399">
        <v>0</v>
      </c>
      <c r="AA17" s="399">
        <v>0</v>
      </c>
    </row>
    <row r="18" spans="1:27">
      <c r="A18" s="326">
        <v>2.2999999999999998</v>
      </c>
      <c r="B18" s="338" t="s">
        <v>409</v>
      </c>
      <c r="C18" s="398">
        <v>0</v>
      </c>
      <c r="D18" s="399">
        <v>0</v>
      </c>
      <c r="E18" s="399">
        <v>0</v>
      </c>
      <c r="F18" s="399">
        <v>0</v>
      </c>
      <c r="G18" s="399">
        <v>0</v>
      </c>
      <c r="H18" s="399">
        <v>0</v>
      </c>
      <c r="I18" s="399">
        <v>0</v>
      </c>
      <c r="J18" s="399">
        <v>0</v>
      </c>
      <c r="K18" s="399">
        <v>0</v>
      </c>
      <c r="L18" s="399">
        <v>0</v>
      </c>
      <c r="M18" s="399">
        <v>0</v>
      </c>
      <c r="N18" s="399">
        <v>0</v>
      </c>
      <c r="O18" s="399">
        <v>0</v>
      </c>
      <c r="P18" s="399">
        <v>0</v>
      </c>
      <c r="Q18" s="399">
        <v>0</v>
      </c>
      <c r="R18" s="399">
        <v>0</v>
      </c>
      <c r="S18" s="399">
        <v>0</v>
      </c>
      <c r="T18" s="399">
        <v>0</v>
      </c>
      <c r="U18" s="399">
        <v>0</v>
      </c>
      <c r="V18" s="399">
        <v>0</v>
      </c>
      <c r="W18" s="399">
        <v>0</v>
      </c>
      <c r="X18" s="399">
        <v>0</v>
      </c>
      <c r="Y18" s="399">
        <v>0</v>
      </c>
      <c r="Z18" s="399">
        <v>0</v>
      </c>
      <c r="AA18" s="399">
        <v>0</v>
      </c>
    </row>
    <row r="19" spans="1:27">
      <c r="A19" s="326">
        <v>2.4</v>
      </c>
      <c r="B19" s="338" t="s">
        <v>410</v>
      </c>
      <c r="C19" s="398">
        <v>0</v>
      </c>
      <c r="D19" s="399">
        <v>0</v>
      </c>
      <c r="E19" s="399">
        <v>0</v>
      </c>
      <c r="F19" s="399">
        <v>0</v>
      </c>
      <c r="G19" s="399">
        <v>0</v>
      </c>
      <c r="H19" s="399">
        <v>0</v>
      </c>
      <c r="I19" s="399">
        <v>0</v>
      </c>
      <c r="J19" s="399">
        <v>0</v>
      </c>
      <c r="K19" s="399">
        <v>0</v>
      </c>
      <c r="L19" s="399">
        <v>0</v>
      </c>
      <c r="M19" s="399">
        <v>0</v>
      </c>
      <c r="N19" s="399">
        <v>0</v>
      </c>
      <c r="O19" s="399">
        <v>0</v>
      </c>
      <c r="P19" s="399">
        <v>0</v>
      </c>
      <c r="Q19" s="399">
        <v>0</v>
      </c>
      <c r="R19" s="399">
        <v>0</v>
      </c>
      <c r="S19" s="399">
        <v>0</v>
      </c>
      <c r="T19" s="399">
        <v>0</v>
      </c>
      <c r="U19" s="399">
        <v>0</v>
      </c>
      <c r="V19" s="399">
        <v>0</v>
      </c>
      <c r="W19" s="399">
        <v>0</v>
      </c>
      <c r="X19" s="399">
        <v>0</v>
      </c>
      <c r="Y19" s="399">
        <v>0</v>
      </c>
      <c r="Z19" s="399">
        <v>0</v>
      </c>
      <c r="AA19" s="399">
        <v>0</v>
      </c>
    </row>
    <row r="20" spans="1:27">
      <c r="A20" s="326">
        <v>2.5</v>
      </c>
      <c r="B20" s="338" t="s">
        <v>411</v>
      </c>
      <c r="C20" s="398">
        <v>0</v>
      </c>
      <c r="D20" s="399">
        <v>0</v>
      </c>
      <c r="E20" s="399">
        <v>0</v>
      </c>
      <c r="F20" s="399">
        <v>0</v>
      </c>
      <c r="G20" s="399">
        <v>0</v>
      </c>
      <c r="H20" s="399">
        <v>0</v>
      </c>
      <c r="I20" s="399">
        <v>0</v>
      </c>
      <c r="J20" s="399">
        <v>0</v>
      </c>
      <c r="K20" s="399">
        <v>0</v>
      </c>
      <c r="L20" s="399">
        <v>0</v>
      </c>
      <c r="M20" s="399">
        <v>0</v>
      </c>
      <c r="N20" s="399">
        <v>0</v>
      </c>
      <c r="O20" s="399">
        <v>0</v>
      </c>
      <c r="P20" s="399">
        <v>0</v>
      </c>
      <c r="Q20" s="399">
        <v>0</v>
      </c>
      <c r="R20" s="399">
        <v>0</v>
      </c>
      <c r="S20" s="399">
        <v>0</v>
      </c>
      <c r="T20" s="399">
        <v>0</v>
      </c>
      <c r="U20" s="399">
        <v>0</v>
      </c>
      <c r="V20" s="399">
        <v>0</v>
      </c>
      <c r="W20" s="399">
        <v>0</v>
      </c>
      <c r="X20" s="399">
        <v>0</v>
      </c>
      <c r="Y20" s="399">
        <v>0</v>
      </c>
      <c r="Z20" s="399">
        <v>0</v>
      </c>
      <c r="AA20" s="399">
        <v>0</v>
      </c>
    </row>
    <row r="21" spans="1:27">
      <c r="A21" s="326">
        <v>2.6</v>
      </c>
      <c r="B21" s="338" t="s">
        <v>412</v>
      </c>
      <c r="C21" s="398">
        <v>0</v>
      </c>
      <c r="D21" s="399">
        <v>0</v>
      </c>
      <c r="E21" s="399">
        <v>0</v>
      </c>
      <c r="F21" s="399">
        <v>0</v>
      </c>
      <c r="G21" s="399">
        <v>0</v>
      </c>
      <c r="H21" s="399">
        <v>0</v>
      </c>
      <c r="I21" s="399">
        <v>0</v>
      </c>
      <c r="J21" s="399">
        <v>0</v>
      </c>
      <c r="K21" s="399">
        <v>0</v>
      </c>
      <c r="L21" s="399">
        <v>0</v>
      </c>
      <c r="M21" s="399">
        <v>0</v>
      </c>
      <c r="N21" s="399">
        <v>0</v>
      </c>
      <c r="O21" s="399">
        <v>0</v>
      </c>
      <c r="P21" s="399">
        <v>0</v>
      </c>
      <c r="Q21" s="399">
        <v>0</v>
      </c>
      <c r="R21" s="399">
        <v>0</v>
      </c>
      <c r="S21" s="399">
        <v>0</v>
      </c>
      <c r="T21" s="399">
        <v>0</v>
      </c>
      <c r="U21" s="399">
        <v>0</v>
      </c>
      <c r="V21" s="399">
        <v>0</v>
      </c>
      <c r="W21" s="399">
        <v>0</v>
      </c>
      <c r="X21" s="399">
        <v>0</v>
      </c>
      <c r="Y21" s="399">
        <v>0</v>
      </c>
      <c r="Z21" s="399">
        <v>0</v>
      </c>
      <c r="AA21" s="399">
        <v>0</v>
      </c>
    </row>
    <row r="22" spans="1:27" ht="12">
      <c r="A22" s="353">
        <v>3</v>
      </c>
      <c r="B22" s="329" t="s">
        <v>451</v>
      </c>
      <c r="C22" s="397">
        <v>0</v>
      </c>
      <c r="D22" s="397">
        <v>0</v>
      </c>
      <c r="E22" s="402"/>
      <c r="F22" s="402"/>
      <c r="G22" s="402"/>
      <c r="H22" s="397">
        <v>0</v>
      </c>
      <c r="I22" s="402"/>
      <c r="J22" s="402"/>
      <c r="K22" s="402"/>
      <c r="L22" s="397">
        <v>0</v>
      </c>
      <c r="M22" s="402"/>
      <c r="N22" s="402"/>
      <c r="O22" s="402"/>
      <c r="P22" s="402"/>
      <c r="Q22" s="402"/>
      <c r="R22" s="402"/>
      <c r="S22" s="402"/>
      <c r="T22" s="397">
        <v>0</v>
      </c>
      <c r="U22" s="402"/>
      <c r="V22" s="402"/>
      <c r="W22" s="402"/>
      <c r="X22" s="402"/>
      <c r="Y22" s="402"/>
      <c r="Z22" s="402"/>
      <c r="AA22" s="402"/>
    </row>
    <row r="23" spans="1:27">
      <c r="A23" s="326">
        <v>3.1</v>
      </c>
      <c r="B23" s="338" t="s">
        <v>407</v>
      </c>
      <c r="C23" s="398">
        <v>0</v>
      </c>
      <c r="D23" s="399">
        <v>0</v>
      </c>
      <c r="E23" s="402"/>
      <c r="F23" s="402"/>
      <c r="G23" s="402"/>
      <c r="H23" s="399">
        <v>0</v>
      </c>
      <c r="I23" s="402"/>
      <c r="J23" s="402"/>
      <c r="K23" s="402"/>
      <c r="L23" s="399">
        <v>0</v>
      </c>
      <c r="M23" s="402"/>
      <c r="N23" s="402"/>
      <c r="O23" s="402"/>
      <c r="P23" s="402"/>
      <c r="Q23" s="402"/>
      <c r="R23" s="402"/>
      <c r="S23" s="402"/>
      <c r="T23" s="399">
        <v>0</v>
      </c>
      <c r="U23" s="402"/>
      <c r="V23" s="402"/>
      <c r="W23" s="402"/>
      <c r="X23" s="402"/>
      <c r="Y23" s="402"/>
      <c r="Z23" s="402"/>
      <c r="AA23" s="402"/>
    </row>
    <row r="24" spans="1:27">
      <c r="A24" s="326">
        <v>3.2</v>
      </c>
      <c r="B24" s="338" t="s">
        <v>408</v>
      </c>
      <c r="C24" s="398">
        <v>0</v>
      </c>
      <c r="D24" s="399">
        <v>0</v>
      </c>
      <c r="E24" s="402"/>
      <c r="F24" s="402"/>
      <c r="G24" s="402"/>
      <c r="H24" s="399">
        <v>0</v>
      </c>
      <c r="I24" s="402"/>
      <c r="J24" s="402"/>
      <c r="K24" s="402"/>
      <c r="L24" s="399">
        <v>0</v>
      </c>
      <c r="M24" s="402"/>
      <c r="N24" s="402"/>
      <c r="O24" s="402"/>
      <c r="P24" s="402"/>
      <c r="Q24" s="402"/>
      <c r="R24" s="402"/>
      <c r="S24" s="402"/>
      <c r="T24" s="399">
        <v>0</v>
      </c>
      <c r="U24" s="402"/>
      <c r="V24" s="402"/>
      <c r="W24" s="402"/>
      <c r="X24" s="402"/>
      <c r="Y24" s="402"/>
      <c r="Z24" s="402"/>
      <c r="AA24" s="402"/>
    </row>
    <row r="25" spans="1:27">
      <c r="A25" s="326">
        <v>3.3</v>
      </c>
      <c r="B25" s="338" t="s">
        <v>409</v>
      </c>
      <c r="C25" s="398">
        <v>0</v>
      </c>
      <c r="D25" s="399">
        <v>0</v>
      </c>
      <c r="E25" s="402"/>
      <c r="F25" s="402"/>
      <c r="G25" s="402"/>
      <c r="H25" s="399">
        <v>0</v>
      </c>
      <c r="I25" s="402"/>
      <c r="J25" s="402"/>
      <c r="K25" s="402"/>
      <c r="L25" s="399">
        <v>0</v>
      </c>
      <c r="M25" s="402"/>
      <c r="N25" s="402"/>
      <c r="O25" s="402"/>
      <c r="P25" s="402"/>
      <c r="Q25" s="402"/>
      <c r="R25" s="402"/>
      <c r="S25" s="402"/>
      <c r="T25" s="399">
        <v>0</v>
      </c>
      <c r="U25" s="402"/>
      <c r="V25" s="402"/>
      <c r="W25" s="402"/>
      <c r="X25" s="402"/>
      <c r="Y25" s="402"/>
      <c r="Z25" s="402"/>
      <c r="AA25" s="402"/>
    </row>
    <row r="26" spans="1:27">
      <c r="A26" s="326">
        <v>3.4</v>
      </c>
      <c r="B26" s="338" t="s">
        <v>410</v>
      </c>
      <c r="C26" s="398">
        <v>0</v>
      </c>
      <c r="D26" s="399">
        <v>0</v>
      </c>
      <c r="E26" s="402"/>
      <c r="F26" s="402"/>
      <c r="G26" s="402"/>
      <c r="H26" s="399">
        <v>0</v>
      </c>
      <c r="I26" s="402"/>
      <c r="J26" s="402"/>
      <c r="K26" s="402"/>
      <c r="L26" s="399">
        <v>0</v>
      </c>
      <c r="M26" s="402"/>
      <c r="N26" s="402"/>
      <c r="O26" s="402"/>
      <c r="P26" s="402"/>
      <c r="Q26" s="402"/>
      <c r="R26" s="402"/>
      <c r="S26" s="402"/>
      <c r="T26" s="399">
        <v>0</v>
      </c>
      <c r="U26" s="402"/>
      <c r="V26" s="402"/>
      <c r="W26" s="402"/>
      <c r="X26" s="402"/>
      <c r="Y26" s="402"/>
      <c r="Z26" s="402"/>
      <c r="AA26" s="402"/>
    </row>
    <row r="27" spans="1:27">
      <c r="A27" s="326">
        <v>3.5</v>
      </c>
      <c r="B27" s="338" t="s">
        <v>411</v>
      </c>
      <c r="C27" s="398">
        <v>0</v>
      </c>
      <c r="D27" s="399">
        <v>0</v>
      </c>
      <c r="E27" s="402"/>
      <c r="F27" s="402"/>
      <c r="G27" s="402"/>
      <c r="H27" s="399">
        <v>0</v>
      </c>
      <c r="I27" s="402"/>
      <c r="J27" s="402"/>
      <c r="K27" s="402"/>
      <c r="L27" s="399">
        <v>0</v>
      </c>
      <c r="M27" s="402"/>
      <c r="N27" s="402"/>
      <c r="O27" s="402"/>
      <c r="P27" s="402"/>
      <c r="Q27" s="402"/>
      <c r="R27" s="402"/>
      <c r="S27" s="402"/>
      <c r="T27" s="399">
        <v>0</v>
      </c>
      <c r="U27" s="402"/>
      <c r="V27" s="402"/>
      <c r="W27" s="402"/>
      <c r="X27" s="402"/>
      <c r="Y27" s="402"/>
      <c r="Z27" s="402"/>
      <c r="AA27" s="402"/>
    </row>
    <row r="28" spans="1:27">
      <c r="A28" s="326">
        <v>3.6</v>
      </c>
      <c r="B28" s="338" t="s">
        <v>412</v>
      </c>
      <c r="C28" s="398">
        <v>0</v>
      </c>
      <c r="D28" s="399">
        <v>0</v>
      </c>
      <c r="E28" s="402"/>
      <c r="F28" s="402"/>
      <c r="G28" s="402"/>
      <c r="H28" s="399">
        <v>0</v>
      </c>
      <c r="I28" s="402"/>
      <c r="J28" s="402"/>
      <c r="K28" s="402"/>
      <c r="L28" s="399">
        <v>0</v>
      </c>
      <c r="M28" s="402"/>
      <c r="N28" s="402"/>
      <c r="O28" s="402"/>
      <c r="P28" s="402"/>
      <c r="Q28" s="402"/>
      <c r="R28" s="402"/>
      <c r="S28" s="402"/>
      <c r="T28" s="399">
        <v>0</v>
      </c>
      <c r="U28" s="402"/>
      <c r="V28" s="402"/>
      <c r="W28" s="402"/>
      <c r="X28" s="402"/>
      <c r="Y28" s="402"/>
      <c r="Z28" s="402"/>
      <c r="AA28" s="402"/>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A22"/>
  <sheetViews>
    <sheetView showGridLines="0" zoomScale="70" zoomScaleNormal="70" workbookViewId="0">
      <pane xSplit="2" ySplit="7" topLeftCell="C8" activePane="bottomRight" state="frozen"/>
      <selection activeCell="B42" sqref="B42"/>
      <selection pane="topRight" activeCell="B42" sqref="B42"/>
      <selection pane="bottomLeft" activeCell="B42" sqref="B42"/>
      <selection pane="bottomRight" activeCell="C8" sqref="C8:AA22"/>
    </sheetView>
  </sheetViews>
  <sheetFormatPr defaultColWidth="9.21875" defaultRowHeight="13.2"/>
  <cols>
    <col min="1" max="1" width="11.77734375" style="8" bestFit="1" customWidth="1"/>
    <col min="2" max="2" width="90.21875" style="8" bestFit="1" customWidth="1"/>
    <col min="3" max="3" width="20.21875" style="8" customWidth="1"/>
    <col min="4" max="4" width="22.21875" style="8" customWidth="1"/>
    <col min="5" max="7" width="17.109375" style="8" customWidth="1"/>
    <col min="8" max="8" width="22.21875" style="8" customWidth="1"/>
    <col min="9" max="10" width="17.109375" style="8" customWidth="1"/>
    <col min="11" max="27" width="22.21875" style="8" customWidth="1"/>
    <col min="28" max="16384" width="9.21875" style="8"/>
  </cols>
  <sheetData>
    <row r="1" spans="1:27">
      <c r="A1" s="504" t="s">
        <v>680</v>
      </c>
      <c r="B1" s="518" t="str">
        <f>'Info '!C2</f>
        <v>Crystal</v>
      </c>
    </row>
    <row r="2" spans="1:27">
      <c r="A2" s="66" t="s">
        <v>31</v>
      </c>
      <c r="B2" s="513">
        <f>'1. key ratios '!B2</f>
        <v>46112</v>
      </c>
    </row>
    <row r="3" spans="1:27">
      <c r="A3" s="404" t="s">
        <v>415</v>
      </c>
      <c r="C3" s="208"/>
    </row>
    <row r="4" spans="1:27" ht="13.8" thickBot="1">
      <c r="A4" s="404"/>
      <c r="B4" s="208"/>
      <c r="C4" s="208"/>
    </row>
    <row r="5" spans="1:27" ht="13.5" customHeight="1">
      <c r="A5" s="796" t="s">
        <v>616</v>
      </c>
      <c r="B5" s="797"/>
      <c r="C5" s="807" t="s">
        <v>615</v>
      </c>
      <c r="D5" s="808"/>
      <c r="E5" s="808"/>
      <c r="F5" s="808"/>
      <c r="G5" s="808"/>
      <c r="H5" s="808"/>
      <c r="I5" s="808"/>
      <c r="J5" s="808"/>
      <c r="K5" s="808"/>
      <c r="L5" s="808"/>
      <c r="M5" s="808"/>
      <c r="N5" s="808"/>
      <c r="O5" s="808"/>
      <c r="P5" s="808"/>
      <c r="Q5" s="808"/>
      <c r="R5" s="808"/>
      <c r="S5" s="809"/>
      <c r="T5" s="405"/>
      <c r="U5" s="405"/>
      <c r="V5" s="405"/>
      <c r="W5" s="405"/>
      <c r="X5" s="405"/>
      <c r="Y5" s="405"/>
      <c r="Z5" s="405"/>
      <c r="AA5" s="406"/>
    </row>
    <row r="6" spans="1:27" ht="12" customHeight="1">
      <c r="A6" s="798"/>
      <c r="B6" s="799"/>
      <c r="C6" s="803" t="s">
        <v>62</v>
      </c>
      <c r="D6" s="802" t="s">
        <v>702</v>
      </c>
      <c r="E6" s="802"/>
      <c r="F6" s="802"/>
      <c r="G6" s="802"/>
      <c r="H6" s="802" t="s">
        <v>703</v>
      </c>
      <c r="I6" s="802"/>
      <c r="J6" s="802"/>
      <c r="K6" s="802"/>
      <c r="L6" s="407"/>
      <c r="M6" s="805" t="s">
        <v>704</v>
      </c>
      <c r="N6" s="805"/>
      <c r="O6" s="805"/>
      <c r="P6" s="805"/>
      <c r="Q6" s="805"/>
      <c r="R6" s="805"/>
      <c r="S6" s="806"/>
      <c r="T6" s="405"/>
      <c r="U6" s="794" t="s">
        <v>612</v>
      </c>
      <c r="V6" s="794"/>
      <c r="W6" s="794"/>
      <c r="X6" s="794"/>
      <c r="Y6" s="794"/>
      <c r="Z6" s="794"/>
      <c r="AA6" s="795"/>
    </row>
    <row r="7" spans="1:27" ht="26.4">
      <c r="A7" s="800"/>
      <c r="B7" s="801"/>
      <c r="C7" s="804"/>
      <c r="D7" s="409"/>
      <c r="E7" s="220" t="s">
        <v>405</v>
      </c>
      <c r="F7" s="220" t="s">
        <v>610</v>
      </c>
      <c r="G7" s="410" t="s">
        <v>611</v>
      </c>
      <c r="H7" s="145"/>
      <c r="I7" s="220" t="s">
        <v>405</v>
      </c>
      <c r="J7" s="220" t="s">
        <v>610</v>
      </c>
      <c r="K7" s="410" t="s">
        <v>611</v>
      </c>
      <c r="L7" s="411"/>
      <c r="M7" s="220" t="s">
        <v>405</v>
      </c>
      <c r="N7" s="220" t="s">
        <v>610</v>
      </c>
      <c r="O7" s="220" t="s">
        <v>609</v>
      </c>
      <c r="P7" s="220" t="s">
        <v>608</v>
      </c>
      <c r="Q7" s="220" t="s">
        <v>607</v>
      </c>
      <c r="R7" s="220" t="s">
        <v>606</v>
      </c>
      <c r="S7" s="412" t="s">
        <v>605</v>
      </c>
      <c r="T7" s="408"/>
      <c r="U7" s="220" t="s">
        <v>405</v>
      </c>
      <c r="V7" s="220" t="s">
        <v>610</v>
      </c>
      <c r="W7" s="220" t="s">
        <v>609</v>
      </c>
      <c r="X7" s="220" t="s">
        <v>608</v>
      </c>
      <c r="Y7" s="220" t="s">
        <v>607</v>
      </c>
      <c r="Z7" s="220" t="s">
        <v>606</v>
      </c>
      <c r="AA7" s="220" t="s">
        <v>605</v>
      </c>
    </row>
    <row r="8" spans="1:27" ht="13.8">
      <c r="A8" s="413">
        <v>1</v>
      </c>
      <c r="B8" s="414" t="s">
        <v>406</v>
      </c>
      <c r="C8" s="636">
        <v>579622653.20311058</v>
      </c>
      <c r="D8" s="637">
        <v>527370205.20292479</v>
      </c>
      <c r="E8" s="637">
        <v>1456103.8326993838</v>
      </c>
      <c r="F8" s="637">
        <v>0</v>
      </c>
      <c r="G8" s="637">
        <v>0</v>
      </c>
      <c r="H8" s="637">
        <v>30771174.37329907</v>
      </c>
      <c r="I8" s="637">
        <v>4575478.9106059065</v>
      </c>
      <c r="J8" s="637">
        <v>3545224.4993428541</v>
      </c>
      <c r="K8" s="637">
        <v>0</v>
      </c>
      <c r="L8" s="637">
        <v>21481273.626886696</v>
      </c>
      <c r="M8" s="637">
        <v>2134603.6813082225</v>
      </c>
      <c r="N8" s="637">
        <v>4452009.1312999371</v>
      </c>
      <c r="O8" s="637">
        <v>8742488.5846657716</v>
      </c>
      <c r="P8" s="638">
        <v>0</v>
      </c>
      <c r="Q8" s="638">
        <v>0</v>
      </c>
      <c r="R8" s="638">
        <v>0</v>
      </c>
      <c r="S8" s="638">
        <v>0</v>
      </c>
      <c r="T8" s="638">
        <v>0</v>
      </c>
      <c r="U8" s="638">
        <v>0</v>
      </c>
      <c r="V8" s="638">
        <v>0</v>
      </c>
      <c r="W8" s="638">
        <v>0</v>
      </c>
      <c r="X8" s="638">
        <v>0</v>
      </c>
      <c r="Y8" s="638">
        <v>0</v>
      </c>
      <c r="Z8" s="638">
        <v>0</v>
      </c>
      <c r="AA8" s="639">
        <v>0</v>
      </c>
    </row>
    <row r="9" spans="1:27" ht="13.8">
      <c r="A9" s="415">
        <v>1.1000000000000001</v>
      </c>
      <c r="B9" s="416" t="s">
        <v>416</v>
      </c>
      <c r="C9" s="640">
        <v>169316864.24698418</v>
      </c>
      <c r="D9" s="637">
        <v>151289444.69144034</v>
      </c>
      <c r="E9" s="637">
        <v>583687.9759480831</v>
      </c>
      <c r="F9" s="637">
        <v>0</v>
      </c>
      <c r="G9" s="637">
        <v>0</v>
      </c>
      <c r="H9" s="637">
        <v>12711304.521134492</v>
      </c>
      <c r="I9" s="637">
        <v>1678705.8633593707</v>
      </c>
      <c r="J9" s="637">
        <v>777600.64552075951</v>
      </c>
      <c r="K9" s="637">
        <v>0</v>
      </c>
      <c r="L9" s="637">
        <v>5316115.0344093423</v>
      </c>
      <c r="M9" s="637">
        <v>718492.70320405625</v>
      </c>
      <c r="N9" s="637">
        <v>1052352.5717516933</v>
      </c>
      <c r="O9" s="637">
        <v>1445871.9071287897</v>
      </c>
      <c r="P9" s="638">
        <v>0</v>
      </c>
      <c r="Q9" s="638">
        <v>0</v>
      </c>
      <c r="R9" s="638">
        <v>0</v>
      </c>
      <c r="S9" s="638">
        <v>0</v>
      </c>
      <c r="T9" s="638">
        <v>0</v>
      </c>
      <c r="U9" s="638">
        <v>0</v>
      </c>
      <c r="V9" s="638">
        <v>0</v>
      </c>
      <c r="W9" s="638">
        <v>0</v>
      </c>
      <c r="X9" s="638">
        <v>0</v>
      </c>
      <c r="Y9" s="638">
        <v>0</v>
      </c>
      <c r="Z9" s="638">
        <v>0</v>
      </c>
      <c r="AA9" s="639">
        <v>0</v>
      </c>
    </row>
    <row r="10" spans="1:27" ht="13.8">
      <c r="A10" s="417" t="s">
        <v>15</v>
      </c>
      <c r="B10" s="418" t="s">
        <v>417</v>
      </c>
      <c r="C10" s="641">
        <v>63310202.400064245</v>
      </c>
      <c r="D10" s="637">
        <v>55786178.07765092</v>
      </c>
      <c r="E10" s="637">
        <v>87228.088693129059</v>
      </c>
      <c r="F10" s="637">
        <v>0</v>
      </c>
      <c r="G10" s="637">
        <v>0</v>
      </c>
      <c r="H10" s="637">
        <v>5474225.2915256936</v>
      </c>
      <c r="I10" s="637">
        <v>418784.31472254137</v>
      </c>
      <c r="J10" s="637">
        <v>153663.97518042676</v>
      </c>
      <c r="K10" s="637">
        <v>0</v>
      </c>
      <c r="L10" s="637">
        <v>2049799.0308876373</v>
      </c>
      <c r="M10" s="637">
        <v>206492.98699147717</v>
      </c>
      <c r="N10" s="637">
        <v>304306.0338632699</v>
      </c>
      <c r="O10" s="637">
        <v>495865.79668948939</v>
      </c>
      <c r="P10" s="638">
        <v>0</v>
      </c>
      <c r="Q10" s="638">
        <v>0</v>
      </c>
      <c r="R10" s="638">
        <v>0</v>
      </c>
      <c r="S10" s="638">
        <v>0</v>
      </c>
      <c r="T10" s="638">
        <v>0</v>
      </c>
      <c r="U10" s="638">
        <v>0</v>
      </c>
      <c r="V10" s="638">
        <v>0</v>
      </c>
      <c r="W10" s="638">
        <v>0</v>
      </c>
      <c r="X10" s="638">
        <v>0</v>
      </c>
      <c r="Y10" s="638">
        <v>0</v>
      </c>
      <c r="Z10" s="638">
        <v>0</v>
      </c>
      <c r="AA10" s="638">
        <v>0</v>
      </c>
    </row>
    <row r="11" spans="1:27" ht="13.8">
      <c r="A11" s="419" t="s">
        <v>418</v>
      </c>
      <c r="B11" s="420" t="s">
        <v>419</v>
      </c>
      <c r="C11" s="641">
        <v>57017039.416325115</v>
      </c>
      <c r="D11" s="637">
        <v>50207811.529252015</v>
      </c>
      <c r="E11" s="637">
        <v>87228.088693129059</v>
      </c>
      <c r="F11" s="637">
        <v>0</v>
      </c>
      <c r="G11" s="637">
        <v>0</v>
      </c>
      <c r="H11" s="637">
        <v>4953794.8636346962</v>
      </c>
      <c r="I11" s="637">
        <v>418784.31472254137</v>
      </c>
      <c r="J11" s="637">
        <v>104526.49348268553</v>
      </c>
      <c r="K11" s="637">
        <v>0</v>
      </c>
      <c r="L11" s="637">
        <v>1855433.0234384034</v>
      </c>
      <c r="M11" s="637">
        <v>206492.98699147717</v>
      </c>
      <c r="N11" s="637">
        <v>241242.95743972386</v>
      </c>
      <c r="O11" s="637">
        <v>495865.79668948939</v>
      </c>
      <c r="P11" s="638">
        <v>0</v>
      </c>
      <c r="Q11" s="638">
        <v>0</v>
      </c>
      <c r="R11" s="638">
        <v>0</v>
      </c>
      <c r="S11" s="638">
        <v>0</v>
      </c>
      <c r="T11" s="638">
        <v>0</v>
      </c>
      <c r="U11" s="638">
        <v>0</v>
      </c>
      <c r="V11" s="638">
        <v>0</v>
      </c>
      <c r="W11" s="638">
        <v>0</v>
      </c>
      <c r="X11" s="638">
        <v>0</v>
      </c>
      <c r="Y11" s="638">
        <v>0</v>
      </c>
      <c r="Z11" s="638">
        <v>0</v>
      </c>
      <c r="AA11" s="639">
        <v>0</v>
      </c>
    </row>
    <row r="12" spans="1:27" ht="13.8">
      <c r="A12" s="419" t="s">
        <v>420</v>
      </c>
      <c r="B12" s="420" t="s">
        <v>421</v>
      </c>
      <c r="C12" s="641">
        <v>3978199.871266163</v>
      </c>
      <c r="D12" s="637">
        <v>3673561.0863695303</v>
      </c>
      <c r="E12" s="637">
        <v>0</v>
      </c>
      <c r="F12" s="637">
        <v>0</v>
      </c>
      <c r="G12" s="637">
        <v>0</v>
      </c>
      <c r="H12" s="637">
        <v>262498.65090897621</v>
      </c>
      <c r="I12" s="637">
        <v>0</v>
      </c>
      <c r="J12" s="637">
        <v>0</v>
      </c>
      <c r="K12" s="637">
        <v>0</v>
      </c>
      <c r="L12" s="637">
        <v>42140.133987656343</v>
      </c>
      <c r="M12" s="637">
        <v>0</v>
      </c>
      <c r="N12" s="637">
        <v>0</v>
      </c>
      <c r="O12" s="637">
        <v>0</v>
      </c>
      <c r="P12" s="638">
        <v>0</v>
      </c>
      <c r="Q12" s="638">
        <v>0</v>
      </c>
      <c r="R12" s="638">
        <v>0</v>
      </c>
      <c r="S12" s="638">
        <v>0</v>
      </c>
      <c r="T12" s="638">
        <v>0</v>
      </c>
      <c r="U12" s="638">
        <v>0</v>
      </c>
      <c r="V12" s="638">
        <v>0</v>
      </c>
      <c r="W12" s="638">
        <v>0</v>
      </c>
      <c r="X12" s="638">
        <v>0</v>
      </c>
      <c r="Y12" s="638">
        <v>0</v>
      </c>
      <c r="Z12" s="638">
        <v>0</v>
      </c>
      <c r="AA12" s="639">
        <v>0</v>
      </c>
    </row>
    <row r="13" spans="1:27" ht="13.8">
      <c r="A13" s="419" t="s">
        <v>422</v>
      </c>
      <c r="B13" s="420" t="s">
        <v>423</v>
      </c>
      <c r="C13" s="641">
        <v>837417.20639865624</v>
      </c>
      <c r="D13" s="637">
        <v>623019.87172152428</v>
      </c>
      <c r="E13" s="637">
        <v>0</v>
      </c>
      <c r="F13" s="637">
        <v>0</v>
      </c>
      <c r="G13" s="637">
        <v>0</v>
      </c>
      <c r="H13" s="637">
        <v>94046.925343940995</v>
      </c>
      <c r="I13" s="637">
        <v>0</v>
      </c>
      <c r="J13" s="637">
        <v>0</v>
      </c>
      <c r="K13" s="637">
        <v>0</v>
      </c>
      <c r="L13" s="637">
        <v>120350.409333191</v>
      </c>
      <c r="M13" s="637">
        <v>0</v>
      </c>
      <c r="N13" s="637">
        <v>63063.076423546016</v>
      </c>
      <c r="O13" s="637">
        <v>0</v>
      </c>
      <c r="P13" s="638">
        <v>0</v>
      </c>
      <c r="Q13" s="638">
        <v>0</v>
      </c>
      <c r="R13" s="638">
        <v>0</v>
      </c>
      <c r="S13" s="638">
        <v>0</v>
      </c>
      <c r="T13" s="638">
        <v>0</v>
      </c>
      <c r="U13" s="638">
        <v>0</v>
      </c>
      <c r="V13" s="638">
        <v>0</v>
      </c>
      <c r="W13" s="638">
        <v>0</v>
      </c>
      <c r="X13" s="638">
        <v>0</v>
      </c>
      <c r="Y13" s="638">
        <v>0</v>
      </c>
      <c r="Z13" s="638">
        <v>0</v>
      </c>
      <c r="AA13" s="639">
        <v>0</v>
      </c>
    </row>
    <row r="14" spans="1:27" ht="13.8">
      <c r="A14" s="419" t="s">
        <v>424</v>
      </c>
      <c r="B14" s="420" t="s">
        <v>425</v>
      </c>
      <c r="C14" s="641">
        <v>1477545.9060743174</v>
      </c>
      <c r="D14" s="637">
        <v>1281785.5903078504</v>
      </c>
      <c r="E14" s="637">
        <v>0</v>
      </c>
      <c r="F14" s="637">
        <v>0</v>
      </c>
      <c r="G14" s="637">
        <v>0</v>
      </c>
      <c r="H14" s="637">
        <v>163884.85163808026</v>
      </c>
      <c r="I14" s="637">
        <v>0</v>
      </c>
      <c r="J14" s="637">
        <v>49137.481697741227</v>
      </c>
      <c r="K14" s="637">
        <v>0</v>
      </c>
      <c r="L14" s="637">
        <v>31875.464128386695</v>
      </c>
      <c r="M14" s="637"/>
      <c r="N14" s="637">
        <v>0</v>
      </c>
      <c r="O14" s="637">
        <v>0</v>
      </c>
      <c r="P14" s="638">
        <v>0</v>
      </c>
      <c r="Q14" s="638">
        <v>0</v>
      </c>
      <c r="R14" s="638">
        <v>0</v>
      </c>
      <c r="S14" s="638">
        <v>0</v>
      </c>
      <c r="T14" s="638">
        <v>0</v>
      </c>
      <c r="U14" s="638">
        <v>0</v>
      </c>
      <c r="V14" s="638">
        <v>0</v>
      </c>
      <c r="W14" s="638">
        <v>0</v>
      </c>
      <c r="X14" s="638">
        <v>0</v>
      </c>
      <c r="Y14" s="638">
        <v>0</v>
      </c>
      <c r="Z14" s="638">
        <v>0</v>
      </c>
      <c r="AA14" s="639">
        <v>0</v>
      </c>
    </row>
    <row r="15" spans="1:27" ht="13.8">
      <c r="A15" s="421">
        <v>1.2</v>
      </c>
      <c r="B15" s="422" t="s">
        <v>614</v>
      </c>
      <c r="C15" s="642">
        <v>3641727.4</v>
      </c>
      <c r="D15" s="637">
        <v>311283.63</v>
      </c>
      <c r="E15" s="637">
        <v>1140.0999999999999</v>
      </c>
      <c r="F15" s="638">
        <v>0</v>
      </c>
      <c r="G15" s="638">
        <v>0</v>
      </c>
      <c r="H15" s="638">
        <v>520081.45</v>
      </c>
      <c r="I15" s="638">
        <v>51375.58</v>
      </c>
      <c r="J15" s="638">
        <v>47236.2</v>
      </c>
      <c r="K15" s="638">
        <v>0</v>
      </c>
      <c r="L15" s="638">
        <v>2810362.32</v>
      </c>
      <c r="M15" s="638">
        <v>363978.49</v>
      </c>
      <c r="N15" s="638">
        <v>583912.67000000004</v>
      </c>
      <c r="O15" s="638">
        <v>791645.57</v>
      </c>
      <c r="P15" s="638">
        <v>0</v>
      </c>
      <c r="Q15" s="638">
        <v>0</v>
      </c>
      <c r="R15" s="638">
        <v>0</v>
      </c>
      <c r="S15" s="638">
        <v>0</v>
      </c>
      <c r="T15" s="638">
        <v>0</v>
      </c>
      <c r="U15" s="638">
        <v>0</v>
      </c>
      <c r="V15" s="638">
        <v>0</v>
      </c>
      <c r="W15" s="638">
        <v>0</v>
      </c>
      <c r="X15" s="638">
        <v>0</v>
      </c>
      <c r="Y15" s="638">
        <v>0</v>
      </c>
      <c r="Z15" s="638">
        <v>0</v>
      </c>
      <c r="AA15" s="639">
        <v>0</v>
      </c>
    </row>
    <row r="16" spans="1:27" ht="13.8">
      <c r="A16" s="415">
        <v>1.3</v>
      </c>
      <c r="B16" s="422" t="s">
        <v>462</v>
      </c>
      <c r="C16" s="643"/>
      <c r="D16" s="644"/>
      <c r="E16" s="644"/>
      <c r="F16" s="644"/>
      <c r="G16" s="644"/>
      <c r="H16" s="644"/>
      <c r="I16" s="644"/>
      <c r="J16" s="644"/>
      <c r="K16" s="644"/>
      <c r="L16" s="644"/>
      <c r="M16" s="644"/>
      <c r="N16" s="644"/>
      <c r="O16" s="644"/>
      <c r="P16" s="644"/>
      <c r="Q16" s="644"/>
      <c r="R16" s="644"/>
      <c r="S16" s="644"/>
      <c r="T16" s="644"/>
      <c r="U16" s="644"/>
      <c r="V16" s="644"/>
      <c r="W16" s="644"/>
      <c r="X16" s="644"/>
      <c r="Y16" s="644"/>
      <c r="Z16" s="644"/>
      <c r="AA16" s="645"/>
    </row>
    <row r="17" spans="1:27" ht="13.8">
      <c r="A17" s="423" t="s">
        <v>426</v>
      </c>
      <c r="B17" s="424" t="s">
        <v>427</v>
      </c>
      <c r="C17" s="646">
        <v>169316864.24698418</v>
      </c>
      <c r="D17" s="638">
        <v>151289444.69144034</v>
      </c>
      <c r="E17" s="638">
        <v>583687.9759480831</v>
      </c>
      <c r="F17" s="638">
        <v>0</v>
      </c>
      <c r="G17" s="638">
        <v>0</v>
      </c>
      <c r="H17" s="638">
        <v>12711304.521134492</v>
      </c>
      <c r="I17" s="638">
        <v>1678705.8633593707</v>
      </c>
      <c r="J17" s="638">
        <v>777600.64552075951</v>
      </c>
      <c r="K17" s="638">
        <v>0</v>
      </c>
      <c r="L17" s="638">
        <v>5316115.0344093423</v>
      </c>
      <c r="M17" s="638">
        <v>718492.70320405625</v>
      </c>
      <c r="N17" s="638">
        <v>1052352.5717516933</v>
      </c>
      <c r="O17" s="638">
        <v>1445871.9071287897</v>
      </c>
      <c r="P17" s="638">
        <v>0</v>
      </c>
      <c r="Q17" s="638">
        <v>0</v>
      </c>
      <c r="R17" s="638">
        <v>0</v>
      </c>
      <c r="S17" s="638">
        <v>0</v>
      </c>
      <c r="T17" s="638">
        <v>0</v>
      </c>
      <c r="U17" s="638">
        <v>0</v>
      </c>
      <c r="V17" s="638">
        <v>0</v>
      </c>
      <c r="W17" s="638">
        <v>0</v>
      </c>
      <c r="X17" s="638">
        <v>0</v>
      </c>
      <c r="Y17" s="638">
        <v>0</v>
      </c>
      <c r="Z17" s="638">
        <v>0</v>
      </c>
      <c r="AA17" s="639">
        <v>0</v>
      </c>
    </row>
    <row r="18" spans="1:27" ht="13.8">
      <c r="A18" s="425" t="s">
        <v>428</v>
      </c>
      <c r="B18" s="426" t="s">
        <v>429</v>
      </c>
      <c r="C18" s="646">
        <v>63310202.400064215</v>
      </c>
      <c r="D18" s="638">
        <v>55786178.077650882</v>
      </c>
      <c r="E18" s="638">
        <v>87228.088693129059</v>
      </c>
      <c r="F18" s="638">
        <v>0</v>
      </c>
      <c r="G18" s="638">
        <v>0</v>
      </c>
      <c r="H18" s="638">
        <v>5474225.2915256927</v>
      </c>
      <c r="I18" s="638">
        <v>418784.31472254137</v>
      </c>
      <c r="J18" s="638">
        <v>153663.97518042676</v>
      </c>
      <c r="K18" s="638">
        <v>0</v>
      </c>
      <c r="L18" s="638">
        <v>2049799.0308876373</v>
      </c>
      <c r="M18" s="638">
        <v>206492.98699147717</v>
      </c>
      <c r="N18" s="638">
        <v>304306.03386326984</v>
      </c>
      <c r="O18" s="638">
        <v>495865.79668948939</v>
      </c>
      <c r="P18" s="638">
        <v>0</v>
      </c>
      <c r="Q18" s="638">
        <v>0</v>
      </c>
      <c r="R18" s="638">
        <v>0</v>
      </c>
      <c r="S18" s="638">
        <v>0</v>
      </c>
      <c r="T18" s="638">
        <v>0</v>
      </c>
      <c r="U18" s="638">
        <v>0</v>
      </c>
      <c r="V18" s="638">
        <v>0</v>
      </c>
      <c r="W18" s="638">
        <v>0</v>
      </c>
      <c r="X18" s="638">
        <v>0</v>
      </c>
      <c r="Y18" s="638">
        <v>0</v>
      </c>
      <c r="Z18" s="638">
        <v>0</v>
      </c>
      <c r="AA18" s="639">
        <v>0</v>
      </c>
    </row>
    <row r="19" spans="1:27" ht="13.8">
      <c r="A19" s="423" t="s">
        <v>430</v>
      </c>
      <c r="B19" s="427" t="s">
        <v>431</v>
      </c>
      <c r="C19" s="646">
        <v>292631979.21301514</v>
      </c>
      <c r="D19" s="638">
        <v>261251395.71855903</v>
      </c>
      <c r="E19" s="638">
        <v>458378.83405191673</v>
      </c>
      <c r="F19" s="638">
        <v>0</v>
      </c>
      <c r="G19" s="638">
        <v>0</v>
      </c>
      <c r="H19" s="638">
        <v>22676383.008865487</v>
      </c>
      <c r="I19" s="638">
        <v>2335317.0366406292</v>
      </c>
      <c r="J19" s="638">
        <v>1369986.0844792405</v>
      </c>
      <c r="K19" s="638">
        <v>0</v>
      </c>
      <c r="L19" s="638">
        <v>8704200.4855906572</v>
      </c>
      <c r="M19" s="638">
        <v>883989.42679594434</v>
      </c>
      <c r="N19" s="638">
        <v>1041427.0082483067</v>
      </c>
      <c r="O19" s="638">
        <v>1726137.81287121</v>
      </c>
      <c r="P19" s="638">
        <v>0</v>
      </c>
      <c r="Q19" s="638">
        <v>0</v>
      </c>
      <c r="R19" s="638">
        <v>0</v>
      </c>
      <c r="S19" s="638">
        <v>0</v>
      </c>
      <c r="T19" s="638">
        <v>0</v>
      </c>
      <c r="U19" s="638">
        <v>0</v>
      </c>
      <c r="V19" s="638">
        <v>0</v>
      </c>
      <c r="W19" s="638">
        <v>0</v>
      </c>
      <c r="X19" s="638">
        <v>0</v>
      </c>
      <c r="Y19" s="638">
        <v>0</v>
      </c>
      <c r="Z19" s="638">
        <v>0</v>
      </c>
      <c r="AA19" s="639">
        <v>0</v>
      </c>
    </row>
    <row r="20" spans="1:27" ht="13.8">
      <c r="A20" s="425" t="s">
        <v>432</v>
      </c>
      <c r="B20" s="426" t="s">
        <v>429</v>
      </c>
      <c r="C20" s="646">
        <v>225252536.5599356</v>
      </c>
      <c r="D20" s="638">
        <v>200336544.03234893</v>
      </c>
      <c r="E20" s="638">
        <v>82031.911306870941</v>
      </c>
      <c r="F20" s="638">
        <v>0</v>
      </c>
      <c r="G20" s="638">
        <v>0</v>
      </c>
      <c r="H20" s="638">
        <v>17323083.458474305</v>
      </c>
      <c r="I20" s="638">
        <v>1181155.4852774586</v>
      </c>
      <c r="J20" s="638">
        <v>698459.42481957329</v>
      </c>
      <c r="K20" s="638">
        <v>0</v>
      </c>
      <c r="L20" s="638">
        <v>7592909.0691123642</v>
      </c>
      <c r="M20" s="638">
        <v>388795.0130085228</v>
      </c>
      <c r="N20" s="638">
        <v>957584.26613673009</v>
      </c>
      <c r="O20" s="638">
        <v>1527956.8033105107</v>
      </c>
      <c r="P20" s="638">
        <v>0</v>
      </c>
      <c r="Q20" s="638">
        <v>0</v>
      </c>
      <c r="R20" s="638">
        <v>0</v>
      </c>
      <c r="S20" s="638">
        <v>0</v>
      </c>
      <c r="T20" s="638">
        <v>0</v>
      </c>
      <c r="U20" s="638">
        <v>0</v>
      </c>
      <c r="V20" s="638">
        <v>0</v>
      </c>
      <c r="W20" s="638">
        <v>0</v>
      </c>
      <c r="X20" s="638">
        <v>0</v>
      </c>
      <c r="Y20" s="638">
        <v>0</v>
      </c>
      <c r="Z20" s="638">
        <v>0</v>
      </c>
      <c r="AA20" s="639">
        <v>0</v>
      </c>
    </row>
    <row r="21" spans="1:27" ht="13.8">
      <c r="A21" s="428">
        <v>1.4</v>
      </c>
      <c r="B21" s="429" t="s">
        <v>433</v>
      </c>
      <c r="C21" s="646">
        <v>0</v>
      </c>
      <c r="D21" s="638">
        <v>0</v>
      </c>
      <c r="E21" s="638">
        <v>0</v>
      </c>
      <c r="F21" s="638">
        <v>0</v>
      </c>
      <c r="G21" s="638">
        <v>0</v>
      </c>
      <c r="H21" s="638">
        <v>0</v>
      </c>
      <c r="I21" s="638">
        <v>0</v>
      </c>
      <c r="J21" s="638">
        <v>0</v>
      </c>
      <c r="K21" s="638">
        <v>0</v>
      </c>
      <c r="L21" s="638">
        <v>0</v>
      </c>
      <c r="M21" s="638">
        <v>0</v>
      </c>
      <c r="N21" s="638">
        <v>0</v>
      </c>
      <c r="O21" s="638">
        <v>0</v>
      </c>
      <c r="P21" s="638">
        <v>0</v>
      </c>
      <c r="Q21" s="638">
        <v>0</v>
      </c>
      <c r="R21" s="638">
        <v>0</v>
      </c>
      <c r="S21" s="638">
        <v>0</v>
      </c>
      <c r="T21" s="638">
        <v>0</v>
      </c>
      <c r="U21" s="638">
        <v>0</v>
      </c>
      <c r="V21" s="638">
        <v>0</v>
      </c>
      <c r="W21" s="638">
        <v>0</v>
      </c>
      <c r="X21" s="638">
        <v>0</v>
      </c>
      <c r="Y21" s="638">
        <v>0</v>
      </c>
      <c r="Z21" s="638">
        <v>0</v>
      </c>
      <c r="AA21" s="639">
        <v>0</v>
      </c>
    </row>
    <row r="22" spans="1:27" ht="14.4" thickBot="1">
      <c r="A22" s="430">
        <v>1.5</v>
      </c>
      <c r="B22" s="431" t="s">
        <v>690</v>
      </c>
      <c r="C22" s="647">
        <v>0</v>
      </c>
      <c r="D22" s="648">
        <v>0</v>
      </c>
      <c r="E22" s="648">
        <v>0</v>
      </c>
      <c r="F22" s="648">
        <v>0</v>
      </c>
      <c r="G22" s="648">
        <v>0</v>
      </c>
      <c r="H22" s="648">
        <v>0</v>
      </c>
      <c r="I22" s="648">
        <v>0</v>
      </c>
      <c r="J22" s="648">
        <v>0</v>
      </c>
      <c r="K22" s="648">
        <v>0</v>
      </c>
      <c r="L22" s="648">
        <v>0</v>
      </c>
      <c r="M22" s="648">
        <v>0</v>
      </c>
      <c r="N22" s="648">
        <v>0</v>
      </c>
      <c r="O22" s="648">
        <v>0</v>
      </c>
      <c r="P22" s="648">
        <v>0</v>
      </c>
      <c r="Q22" s="648">
        <v>0</v>
      </c>
      <c r="R22" s="648">
        <v>0</v>
      </c>
      <c r="S22" s="648">
        <v>0</v>
      </c>
      <c r="T22" s="648">
        <v>0</v>
      </c>
      <c r="U22" s="648">
        <v>0</v>
      </c>
      <c r="V22" s="648">
        <v>0</v>
      </c>
      <c r="W22" s="648">
        <v>0</v>
      </c>
      <c r="X22" s="648">
        <v>0</v>
      </c>
      <c r="Y22" s="648">
        <v>0</v>
      </c>
      <c r="Z22" s="648">
        <v>0</v>
      </c>
      <c r="AA22" s="649">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85C15-050F-4A3C-A91B-9423353C6250}">
  <dimension ref="A1:L35"/>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C35" sqref="C35"/>
    </sheetView>
  </sheetViews>
  <sheetFormatPr defaultColWidth="9.21875" defaultRowHeight="13.2"/>
  <cols>
    <col min="1" max="1" width="11.77734375" style="8" bestFit="1" customWidth="1"/>
    <col min="2" max="2" width="93.44140625" style="8" customWidth="1"/>
    <col min="3" max="3" width="14.6640625" style="8" customWidth="1"/>
    <col min="4" max="5" width="16.109375" style="8" customWidth="1"/>
    <col min="6" max="6" width="16.109375" style="435" customWidth="1"/>
    <col min="7" max="7" width="25.21875" style="435" customWidth="1"/>
    <col min="8" max="8" width="16.109375" style="8" customWidth="1"/>
    <col min="9" max="11" width="16.109375" style="435" customWidth="1"/>
    <col min="12" max="12" width="26.21875" style="435" customWidth="1"/>
    <col min="13" max="16384" width="9.21875" style="8"/>
  </cols>
  <sheetData>
    <row r="1" spans="1:12">
      <c r="A1" s="504" t="s">
        <v>680</v>
      </c>
      <c r="B1" s="518" t="str">
        <f>'Info '!C2</f>
        <v>Crystal</v>
      </c>
      <c r="F1" s="8"/>
      <c r="G1" s="8"/>
      <c r="I1" s="8"/>
      <c r="J1" s="8"/>
      <c r="K1" s="8"/>
      <c r="L1" s="8"/>
    </row>
    <row r="2" spans="1:12">
      <c r="A2" s="66" t="s">
        <v>31</v>
      </c>
      <c r="B2" s="513">
        <f>'1. key ratios '!B2</f>
        <v>46112</v>
      </c>
      <c r="F2" s="8"/>
      <c r="G2" s="8"/>
      <c r="I2" s="8"/>
      <c r="J2" s="8"/>
      <c r="K2" s="8"/>
      <c r="L2" s="8"/>
    </row>
    <row r="3" spans="1:12">
      <c r="A3" s="404" t="s">
        <v>434</v>
      </c>
      <c r="F3" s="8"/>
      <c r="G3" s="8"/>
      <c r="I3" s="8"/>
      <c r="J3" s="8"/>
      <c r="K3" s="8"/>
      <c r="L3" s="8"/>
    </row>
    <row r="4" spans="1:12">
      <c r="F4" s="8"/>
      <c r="G4" s="8"/>
      <c r="I4" s="8"/>
      <c r="J4" s="8"/>
      <c r="K4" s="8"/>
      <c r="L4" s="8"/>
    </row>
    <row r="5" spans="1:12" ht="37.5" customHeight="1">
      <c r="A5" s="810" t="s">
        <v>450</v>
      </c>
      <c r="B5" s="811"/>
      <c r="C5" s="814" t="s">
        <v>435</v>
      </c>
      <c r="D5" s="815"/>
      <c r="E5" s="815"/>
      <c r="F5" s="815"/>
      <c r="G5" s="815"/>
      <c r="H5" s="814" t="s">
        <v>594</v>
      </c>
      <c r="I5" s="816"/>
      <c r="J5" s="816"/>
      <c r="K5" s="816"/>
      <c r="L5" s="817"/>
    </row>
    <row r="6" spans="1:12" ht="39.450000000000003" customHeight="1">
      <c r="A6" s="812"/>
      <c r="B6" s="813"/>
      <c r="C6" s="580"/>
      <c r="D6" s="579" t="s">
        <v>702</v>
      </c>
      <c r="E6" s="579" t="s">
        <v>703</v>
      </c>
      <c r="F6" s="579" t="s">
        <v>704</v>
      </c>
      <c r="G6" s="579" t="s">
        <v>612</v>
      </c>
      <c r="H6" s="411"/>
      <c r="I6" s="579" t="s">
        <v>702</v>
      </c>
      <c r="J6" s="579" t="s">
        <v>703</v>
      </c>
      <c r="K6" s="579" t="s">
        <v>704</v>
      </c>
      <c r="L6" s="579" t="s">
        <v>612</v>
      </c>
    </row>
    <row r="7" spans="1:12">
      <c r="A7" s="577">
        <v>1</v>
      </c>
      <c r="B7" s="578" t="s">
        <v>453</v>
      </c>
      <c r="C7" s="650">
        <v>0</v>
      </c>
      <c r="D7" s="651">
        <v>0</v>
      </c>
      <c r="E7" s="651">
        <v>0</v>
      </c>
      <c r="F7" s="652">
        <v>0</v>
      </c>
      <c r="G7" s="652">
        <v>0</v>
      </c>
      <c r="H7" s="650">
        <v>0</v>
      </c>
      <c r="I7" s="651">
        <v>0</v>
      </c>
      <c r="J7" s="651">
        <v>0</v>
      </c>
      <c r="K7" s="652">
        <v>0</v>
      </c>
      <c r="L7" s="652">
        <v>0</v>
      </c>
    </row>
    <row r="8" spans="1:12">
      <c r="A8" s="577">
        <v>2</v>
      </c>
      <c r="B8" s="578" t="s">
        <v>368</v>
      </c>
      <c r="C8" s="650">
        <v>68175.605225263149</v>
      </c>
      <c r="D8" s="651">
        <v>55050.313460493453</v>
      </c>
      <c r="E8" s="651">
        <v>13125.29176476969</v>
      </c>
      <c r="F8" s="652">
        <v>0</v>
      </c>
      <c r="G8" s="652">
        <v>0</v>
      </c>
      <c r="H8" s="650">
        <v>2350.5800000000004</v>
      </c>
      <c r="I8" s="651">
        <v>123.04999999999998</v>
      </c>
      <c r="J8" s="651">
        <v>2227.5300000000002</v>
      </c>
      <c r="K8" s="652">
        <v>0</v>
      </c>
      <c r="L8" s="652">
        <v>0</v>
      </c>
    </row>
    <row r="9" spans="1:12">
      <c r="A9" s="577">
        <v>3</v>
      </c>
      <c r="B9" s="578" t="s">
        <v>369</v>
      </c>
      <c r="C9" s="650">
        <v>19951.001251540685</v>
      </c>
      <c r="D9" s="651">
        <v>19951.001251540685</v>
      </c>
      <c r="E9" s="651">
        <v>0</v>
      </c>
      <c r="F9" s="652">
        <v>0</v>
      </c>
      <c r="G9" s="652">
        <v>0</v>
      </c>
      <c r="H9" s="650">
        <v>152.85</v>
      </c>
      <c r="I9" s="651">
        <v>152.85</v>
      </c>
      <c r="J9" s="651">
        <v>0</v>
      </c>
      <c r="K9" s="652">
        <v>0</v>
      </c>
      <c r="L9" s="652">
        <v>0</v>
      </c>
    </row>
    <row r="10" spans="1:12">
      <c r="A10" s="577">
        <v>4</v>
      </c>
      <c r="B10" s="578" t="s">
        <v>454</v>
      </c>
      <c r="C10" s="650">
        <v>0</v>
      </c>
      <c r="D10" s="651">
        <v>0</v>
      </c>
      <c r="E10" s="651">
        <v>0</v>
      </c>
      <c r="F10" s="652">
        <v>0</v>
      </c>
      <c r="G10" s="652">
        <v>0</v>
      </c>
      <c r="H10" s="650">
        <v>0</v>
      </c>
      <c r="I10" s="651">
        <v>0</v>
      </c>
      <c r="J10" s="651">
        <v>0</v>
      </c>
      <c r="K10" s="652">
        <v>0</v>
      </c>
      <c r="L10" s="652">
        <v>0</v>
      </c>
    </row>
    <row r="11" spans="1:12">
      <c r="A11" s="577">
        <v>5</v>
      </c>
      <c r="B11" s="578" t="s">
        <v>370</v>
      </c>
      <c r="C11" s="650">
        <v>1855347.5119535262</v>
      </c>
      <c r="D11" s="651">
        <v>1756706.8153857398</v>
      </c>
      <c r="E11" s="651">
        <v>84507.742271039431</v>
      </c>
      <c r="F11" s="652">
        <v>14132.954296747099</v>
      </c>
      <c r="G11" s="652">
        <v>0</v>
      </c>
      <c r="H11" s="650">
        <v>39950.380000000005</v>
      </c>
      <c r="I11" s="651">
        <v>9944.1800000000021</v>
      </c>
      <c r="J11" s="651">
        <v>19422.68</v>
      </c>
      <c r="K11" s="652">
        <v>10583.52</v>
      </c>
      <c r="L11" s="652">
        <v>0</v>
      </c>
    </row>
    <row r="12" spans="1:12">
      <c r="A12" s="577">
        <v>6</v>
      </c>
      <c r="B12" s="578" t="s">
        <v>371</v>
      </c>
      <c r="C12" s="650">
        <v>10193649.110754294</v>
      </c>
      <c r="D12" s="651">
        <v>8811040.1808684003</v>
      </c>
      <c r="E12" s="651">
        <v>720175.79030781728</v>
      </c>
      <c r="F12" s="652">
        <v>662433.13957807608</v>
      </c>
      <c r="G12" s="652">
        <v>0</v>
      </c>
      <c r="H12" s="650">
        <v>580151.11</v>
      </c>
      <c r="I12" s="651">
        <v>61214.179999999971</v>
      </c>
      <c r="J12" s="651">
        <v>45232.299999999988</v>
      </c>
      <c r="K12" s="652">
        <v>473704.63000000006</v>
      </c>
      <c r="L12" s="652">
        <v>0</v>
      </c>
    </row>
    <row r="13" spans="1:12">
      <c r="A13" s="577">
        <v>7</v>
      </c>
      <c r="B13" s="578" t="s">
        <v>372</v>
      </c>
      <c r="C13" s="650">
        <v>2555282.6716131759</v>
      </c>
      <c r="D13" s="651">
        <v>2017800.7794997927</v>
      </c>
      <c r="E13" s="651">
        <v>450227.85296485462</v>
      </c>
      <c r="F13" s="652">
        <v>87254.03914852858</v>
      </c>
      <c r="G13" s="652">
        <v>0</v>
      </c>
      <c r="H13" s="650">
        <v>93000.37000000001</v>
      </c>
      <c r="I13" s="651">
        <v>14248.960000000001</v>
      </c>
      <c r="J13" s="651">
        <v>15191.690000000006</v>
      </c>
      <c r="K13" s="652">
        <v>63559.72</v>
      </c>
      <c r="L13" s="652">
        <v>0</v>
      </c>
    </row>
    <row r="14" spans="1:12">
      <c r="A14" s="577">
        <v>8</v>
      </c>
      <c r="B14" s="578" t="s">
        <v>373</v>
      </c>
      <c r="C14" s="650">
        <v>18696200.397216745</v>
      </c>
      <c r="D14" s="651">
        <v>16755820.682087351</v>
      </c>
      <c r="E14" s="651">
        <v>1248940.0022752725</v>
      </c>
      <c r="F14" s="652">
        <v>691439.71285412088</v>
      </c>
      <c r="G14" s="652">
        <v>0</v>
      </c>
      <c r="H14" s="650">
        <v>697561.07000000007</v>
      </c>
      <c r="I14" s="651">
        <v>125292.60000000005</v>
      </c>
      <c r="J14" s="651">
        <v>97042.01</v>
      </c>
      <c r="K14" s="652">
        <v>475226.46</v>
      </c>
      <c r="L14" s="652">
        <v>0</v>
      </c>
    </row>
    <row r="15" spans="1:12">
      <c r="A15" s="577">
        <v>9</v>
      </c>
      <c r="B15" s="578" t="s">
        <v>374</v>
      </c>
      <c r="C15" s="650">
        <v>4505844.5519215753</v>
      </c>
      <c r="D15" s="651">
        <v>4048442.7379931677</v>
      </c>
      <c r="E15" s="651">
        <v>233387.42406702781</v>
      </c>
      <c r="F15" s="652">
        <v>224014.38986137949</v>
      </c>
      <c r="G15" s="652">
        <v>0</v>
      </c>
      <c r="H15" s="650">
        <v>226823.79000000004</v>
      </c>
      <c r="I15" s="651">
        <v>31512.530000000017</v>
      </c>
      <c r="J15" s="651">
        <v>25257.129999999997</v>
      </c>
      <c r="K15" s="652">
        <v>170054.13000000003</v>
      </c>
      <c r="L15" s="652">
        <v>0</v>
      </c>
    </row>
    <row r="16" spans="1:12">
      <c r="A16" s="577">
        <v>10</v>
      </c>
      <c r="B16" s="578" t="s">
        <v>375</v>
      </c>
      <c r="C16" s="650">
        <v>4459574.5013570124</v>
      </c>
      <c r="D16" s="651">
        <v>3846948.513573519</v>
      </c>
      <c r="E16" s="651">
        <v>419064.86090558564</v>
      </c>
      <c r="F16" s="652">
        <v>193561.12687790752</v>
      </c>
      <c r="G16" s="652">
        <v>0</v>
      </c>
      <c r="H16" s="650">
        <v>167346.09</v>
      </c>
      <c r="I16" s="651">
        <v>33340.519999999997</v>
      </c>
      <c r="J16" s="651">
        <v>7701.5500000000011</v>
      </c>
      <c r="K16" s="652">
        <v>126304.01999999999</v>
      </c>
      <c r="L16" s="652">
        <v>0</v>
      </c>
    </row>
    <row r="17" spans="1:12">
      <c r="A17" s="577">
        <v>11</v>
      </c>
      <c r="B17" s="578" t="s">
        <v>376</v>
      </c>
      <c r="C17" s="650">
        <v>14026503.449510861</v>
      </c>
      <c r="D17" s="651">
        <v>13004898.664763901</v>
      </c>
      <c r="E17" s="651">
        <v>564976.56218882394</v>
      </c>
      <c r="F17" s="652">
        <v>456628.22255813435</v>
      </c>
      <c r="G17" s="652">
        <v>0</v>
      </c>
      <c r="H17" s="650">
        <v>513107.96000000037</v>
      </c>
      <c r="I17" s="651">
        <v>139468.59000000035</v>
      </c>
      <c r="J17" s="651">
        <v>49909.620000000024</v>
      </c>
      <c r="K17" s="652">
        <v>323729.75</v>
      </c>
      <c r="L17" s="652">
        <v>0</v>
      </c>
    </row>
    <row r="18" spans="1:12">
      <c r="A18" s="577">
        <v>12</v>
      </c>
      <c r="B18" s="578" t="s">
        <v>377</v>
      </c>
      <c r="C18" s="650">
        <v>8654849.8275655545</v>
      </c>
      <c r="D18" s="651">
        <v>7666081.9453708585</v>
      </c>
      <c r="E18" s="651">
        <v>709767.8471939381</v>
      </c>
      <c r="F18" s="652">
        <v>279000.03500075906</v>
      </c>
      <c r="G18" s="652">
        <v>0</v>
      </c>
      <c r="H18" s="650">
        <v>329141.27000000008</v>
      </c>
      <c r="I18" s="651">
        <v>68063.220000000045</v>
      </c>
      <c r="J18" s="651">
        <v>40908.110000000015</v>
      </c>
      <c r="K18" s="652">
        <v>220169.94</v>
      </c>
      <c r="L18" s="652">
        <v>0</v>
      </c>
    </row>
    <row r="19" spans="1:12">
      <c r="A19" s="577">
        <v>13</v>
      </c>
      <c r="B19" s="578" t="s">
        <v>378</v>
      </c>
      <c r="C19" s="650">
        <v>651485.3462191181</v>
      </c>
      <c r="D19" s="651">
        <v>598311.09378208313</v>
      </c>
      <c r="E19" s="651">
        <v>32705.738915770387</v>
      </c>
      <c r="F19" s="652">
        <v>20468.513521264536</v>
      </c>
      <c r="G19" s="652">
        <v>0</v>
      </c>
      <c r="H19" s="650">
        <v>25435.449999999997</v>
      </c>
      <c r="I19" s="651">
        <v>6187.6499999999978</v>
      </c>
      <c r="J19" s="651">
        <v>5345.0499999999993</v>
      </c>
      <c r="K19" s="652">
        <v>13902.749999999998</v>
      </c>
      <c r="L19" s="652">
        <v>0</v>
      </c>
    </row>
    <row r="20" spans="1:12">
      <c r="A20" s="577">
        <v>14</v>
      </c>
      <c r="B20" s="578" t="s">
        <v>379</v>
      </c>
      <c r="C20" s="650">
        <v>5339707.5292867329</v>
      </c>
      <c r="D20" s="651">
        <v>4962777.4520957852</v>
      </c>
      <c r="E20" s="651">
        <v>321853.87338815659</v>
      </c>
      <c r="F20" s="652">
        <v>55076.203802791119</v>
      </c>
      <c r="G20" s="652">
        <v>0</v>
      </c>
      <c r="H20" s="650">
        <v>111047.13000000002</v>
      </c>
      <c r="I20" s="651">
        <v>37356.640000000029</v>
      </c>
      <c r="J20" s="651">
        <v>30855.06</v>
      </c>
      <c r="K20" s="652">
        <v>42835.429999999993</v>
      </c>
      <c r="L20" s="652">
        <v>0</v>
      </c>
    </row>
    <row r="21" spans="1:12">
      <c r="A21" s="577">
        <v>15</v>
      </c>
      <c r="B21" s="578" t="s">
        <v>380</v>
      </c>
      <c r="C21" s="650">
        <v>2789043.8032603348</v>
      </c>
      <c r="D21" s="651">
        <v>2413741.6237447192</v>
      </c>
      <c r="E21" s="651">
        <v>262904.37353039358</v>
      </c>
      <c r="F21" s="652">
        <v>112397.80598522205</v>
      </c>
      <c r="G21" s="652">
        <v>0</v>
      </c>
      <c r="H21" s="650">
        <v>103659.50000000003</v>
      </c>
      <c r="I21" s="651">
        <v>18520.790000000012</v>
      </c>
      <c r="J21" s="651">
        <v>14826.699999999999</v>
      </c>
      <c r="K21" s="652">
        <v>70312.010000000009</v>
      </c>
      <c r="L21" s="652">
        <v>0</v>
      </c>
    </row>
    <row r="22" spans="1:12">
      <c r="A22" s="577">
        <v>16</v>
      </c>
      <c r="B22" s="578" t="s">
        <v>381</v>
      </c>
      <c r="C22" s="650">
        <v>32518.331750518253</v>
      </c>
      <c r="D22" s="651">
        <v>32518.331750518253</v>
      </c>
      <c r="E22" s="651">
        <v>0</v>
      </c>
      <c r="F22" s="652">
        <v>0</v>
      </c>
      <c r="G22" s="652">
        <v>0</v>
      </c>
      <c r="H22" s="650">
        <v>379.39</v>
      </c>
      <c r="I22" s="651">
        <v>379.39</v>
      </c>
      <c r="J22" s="651">
        <v>0</v>
      </c>
      <c r="K22" s="652">
        <v>0</v>
      </c>
      <c r="L22" s="652">
        <v>0</v>
      </c>
    </row>
    <row r="23" spans="1:12">
      <c r="A23" s="577">
        <v>17</v>
      </c>
      <c r="B23" s="578" t="s">
        <v>457</v>
      </c>
      <c r="C23" s="650">
        <v>76938.191138632625</v>
      </c>
      <c r="D23" s="651">
        <v>61651.768662641698</v>
      </c>
      <c r="E23" s="651">
        <v>0</v>
      </c>
      <c r="F23" s="652">
        <v>15286.422475990919</v>
      </c>
      <c r="G23" s="652">
        <v>0</v>
      </c>
      <c r="H23" s="650">
        <v>12374.95</v>
      </c>
      <c r="I23" s="651">
        <v>364.61999999999995</v>
      </c>
      <c r="J23" s="651">
        <v>0</v>
      </c>
      <c r="K23" s="652">
        <v>12010.33</v>
      </c>
      <c r="L23" s="652">
        <v>0</v>
      </c>
    </row>
    <row r="24" spans="1:12">
      <c r="A24" s="577">
        <v>18</v>
      </c>
      <c r="B24" s="578" t="s">
        <v>382</v>
      </c>
      <c r="C24" s="650">
        <v>110255.89306495679</v>
      </c>
      <c r="D24" s="651">
        <v>105022.7414083653</v>
      </c>
      <c r="E24" s="651">
        <v>0</v>
      </c>
      <c r="F24" s="652">
        <v>5233.1516565914972</v>
      </c>
      <c r="G24" s="652">
        <v>0</v>
      </c>
      <c r="H24" s="650">
        <v>5194.49</v>
      </c>
      <c r="I24" s="651">
        <v>1083.02</v>
      </c>
      <c r="J24" s="651">
        <v>0</v>
      </c>
      <c r="K24" s="652">
        <v>4111.47</v>
      </c>
      <c r="L24" s="652">
        <v>0</v>
      </c>
    </row>
    <row r="25" spans="1:12">
      <c r="A25" s="577">
        <v>19</v>
      </c>
      <c r="B25" s="578" t="s">
        <v>383</v>
      </c>
      <c r="C25" s="650">
        <v>2996762.4902194948</v>
      </c>
      <c r="D25" s="651">
        <v>2760866.8571796757</v>
      </c>
      <c r="E25" s="651">
        <v>172717.44900712548</v>
      </c>
      <c r="F25" s="652">
        <v>63178.184032693622</v>
      </c>
      <c r="G25" s="652">
        <v>0</v>
      </c>
      <c r="H25" s="650">
        <v>87429.500000000015</v>
      </c>
      <c r="I25" s="651">
        <v>22124.200000000012</v>
      </c>
      <c r="J25" s="651">
        <v>15576.470000000003</v>
      </c>
      <c r="K25" s="652">
        <v>49728.83</v>
      </c>
      <c r="L25" s="652">
        <v>0</v>
      </c>
    </row>
    <row r="26" spans="1:12">
      <c r="A26" s="577">
        <v>20</v>
      </c>
      <c r="B26" s="578" t="s">
        <v>456</v>
      </c>
      <c r="C26" s="650">
        <v>2363977.7808257383</v>
      </c>
      <c r="D26" s="651">
        <v>2137253.113647874</v>
      </c>
      <c r="E26" s="651">
        <v>154066.30131702035</v>
      </c>
      <c r="F26" s="652">
        <v>72658.365860843915</v>
      </c>
      <c r="G26" s="652">
        <v>0</v>
      </c>
      <c r="H26" s="650">
        <v>69043.19</v>
      </c>
      <c r="I26" s="651">
        <v>18937.060000000001</v>
      </c>
      <c r="J26" s="651">
        <v>5438.29</v>
      </c>
      <c r="K26" s="652">
        <v>44667.840000000004</v>
      </c>
      <c r="L26" s="652">
        <v>0</v>
      </c>
    </row>
    <row r="27" spans="1:12">
      <c r="A27" s="577">
        <v>21</v>
      </c>
      <c r="B27" s="578" t="s">
        <v>384</v>
      </c>
      <c r="C27" s="650">
        <v>374591.37471554533</v>
      </c>
      <c r="D27" s="651">
        <v>297534.59449643339</v>
      </c>
      <c r="E27" s="651">
        <v>77056.780219111941</v>
      </c>
      <c r="F27" s="652">
        <v>0</v>
      </c>
      <c r="G27" s="652">
        <v>0</v>
      </c>
      <c r="H27" s="650">
        <v>3543.7200000000003</v>
      </c>
      <c r="I27" s="651">
        <v>2065.5</v>
      </c>
      <c r="J27" s="651">
        <v>1478.22</v>
      </c>
      <c r="K27" s="652">
        <v>0</v>
      </c>
      <c r="L27" s="652">
        <v>0</v>
      </c>
    </row>
    <row r="28" spans="1:12">
      <c r="A28" s="577">
        <v>22</v>
      </c>
      <c r="B28" s="578" t="s">
        <v>385</v>
      </c>
      <c r="C28" s="650">
        <v>103510.81452943636</v>
      </c>
      <c r="D28" s="651">
        <v>42753.529915280604</v>
      </c>
      <c r="E28" s="651">
        <v>32490.030889183436</v>
      </c>
      <c r="F28" s="652">
        <v>28267.253724972325</v>
      </c>
      <c r="G28" s="652">
        <v>0</v>
      </c>
      <c r="H28" s="650">
        <v>23550.02</v>
      </c>
      <c r="I28" s="651">
        <v>386.93</v>
      </c>
      <c r="J28" s="651">
        <v>968.62</v>
      </c>
      <c r="K28" s="652">
        <v>22194.47</v>
      </c>
      <c r="L28" s="652">
        <v>0</v>
      </c>
    </row>
    <row r="29" spans="1:12">
      <c r="A29" s="577">
        <v>23</v>
      </c>
      <c r="B29" s="578" t="s">
        <v>386</v>
      </c>
      <c r="C29" s="650">
        <v>64016666.208367519</v>
      </c>
      <c r="D29" s="651">
        <v>57376019.140815422</v>
      </c>
      <c r="E29" s="651">
        <v>3337937.1965684695</v>
      </c>
      <c r="F29" s="652">
        <v>3302709.87098363</v>
      </c>
      <c r="G29" s="652">
        <v>0</v>
      </c>
      <c r="H29" s="650">
        <v>2783120.11</v>
      </c>
      <c r="I29" s="651">
        <v>449331.3599999994</v>
      </c>
      <c r="J29" s="651">
        <v>202907.97999999989</v>
      </c>
      <c r="K29" s="652">
        <v>2130880.7700000005</v>
      </c>
      <c r="L29" s="652">
        <v>0</v>
      </c>
    </row>
    <row r="30" spans="1:12">
      <c r="A30" s="577">
        <v>24</v>
      </c>
      <c r="B30" s="578" t="s">
        <v>455</v>
      </c>
      <c r="C30" s="650">
        <v>77945254.780197799</v>
      </c>
      <c r="D30" s="651">
        <v>69500408.604227468</v>
      </c>
      <c r="E30" s="651">
        <v>4491770.2058682982</v>
      </c>
      <c r="F30" s="652">
        <v>3953075.9701020322</v>
      </c>
      <c r="G30" s="652">
        <v>0</v>
      </c>
      <c r="H30" s="650">
        <v>3997358.4800000032</v>
      </c>
      <c r="I30" s="651">
        <v>498337.46000000119</v>
      </c>
      <c r="J30" s="651">
        <v>388919.66000000015</v>
      </c>
      <c r="K30" s="652">
        <v>3110101.3600000017</v>
      </c>
      <c r="L30" s="652">
        <v>0</v>
      </c>
    </row>
    <row r="31" spans="1:12">
      <c r="A31" s="577">
        <v>25</v>
      </c>
      <c r="B31" s="578" t="s">
        <v>387</v>
      </c>
      <c r="C31" s="650">
        <v>357786562.03116286</v>
      </c>
      <c r="D31" s="653">
        <v>329098604.71694148</v>
      </c>
      <c r="E31" s="653">
        <v>17443499.049656305</v>
      </c>
      <c r="F31" s="654">
        <v>11244458.264565025</v>
      </c>
      <c r="G31" s="652">
        <v>0</v>
      </c>
      <c r="H31" s="650">
        <v>11073226.080000021</v>
      </c>
      <c r="I31" s="651">
        <v>1964055.7900000331</v>
      </c>
      <c r="J31" s="651">
        <v>1229340.3499999994</v>
      </c>
      <c r="K31" s="652">
        <v>7879829.9399999892</v>
      </c>
      <c r="L31" s="652">
        <v>0</v>
      </c>
    </row>
    <row r="32" spans="1:12">
      <c r="A32" s="577">
        <v>26</v>
      </c>
      <c r="B32" s="578" t="s">
        <v>452</v>
      </c>
      <c r="C32" s="650">
        <v>0</v>
      </c>
      <c r="D32" s="651">
        <v>0</v>
      </c>
      <c r="E32" s="651">
        <v>0</v>
      </c>
      <c r="F32" s="652">
        <v>0</v>
      </c>
      <c r="G32" s="652">
        <v>0</v>
      </c>
      <c r="H32" s="650">
        <v>0</v>
      </c>
      <c r="I32" s="651">
        <v>0</v>
      </c>
      <c r="J32" s="651">
        <v>0</v>
      </c>
      <c r="K32" s="652">
        <v>0</v>
      </c>
      <c r="L32" s="652">
        <v>0</v>
      </c>
    </row>
    <row r="33" spans="1:12">
      <c r="A33" s="577">
        <v>27</v>
      </c>
      <c r="B33" s="576" t="s">
        <v>62</v>
      </c>
      <c r="C33" s="575">
        <f t="shared" ref="C33:L33" si="0">SUM(C7:C32)</f>
        <v>579622653.20310819</v>
      </c>
      <c r="D33" s="574">
        <f t="shared" si="0"/>
        <v>527370205.20292246</v>
      </c>
      <c r="E33" s="574">
        <f t="shared" si="0"/>
        <v>30771174.373298965</v>
      </c>
      <c r="F33" s="573">
        <f t="shared" si="0"/>
        <v>21481273.626886711</v>
      </c>
      <c r="G33" s="573">
        <f t="shared" si="0"/>
        <v>0</v>
      </c>
      <c r="H33" s="574">
        <f t="shared" si="0"/>
        <v>20944947.480000027</v>
      </c>
      <c r="I33" s="573">
        <f t="shared" si="0"/>
        <v>3502491.0900000343</v>
      </c>
      <c r="J33" s="573">
        <f t="shared" si="0"/>
        <v>2198549.0199999996</v>
      </c>
      <c r="K33" s="573">
        <f t="shared" si="0"/>
        <v>15243907.36999999</v>
      </c>
      <c r="L33" s="573">
        <f t="shared" si="0"/>
        <v>0</v>
      </c>
    </row>
    <row r="35" spans="1:12">
      <c r="B35" s="434"/>
      <c r="C35" s="434"/>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13"/>
  <sheetViews>
    <sheetView showGridLines="0" zoomScale="70" zoomScaleNormal="70" workbookViewId="0">
      <pane xSplit="2" ySplit="5" topLeftCell="C6" activePane="bottomRight" state="frozen"/>
      <selection activeCell="B42" sqref="B42"/>
      <selection pane="topRight" activeCell="B42" sqref="B42"/>
      <selection pane="bottomLeft" activeCell="B42" sqref="B42"/>
      <selection pane="bottomRight" activeCell="C6" sqref="C6:K11"/>
    </sheetView>
  </sheetViews>
  <sheetFormatPr defaultColWidth="8.77734375" defaultRowHeight="13.2"/>
  <cols>
    <col min="1" max="1" width="11.77734375" style="8" bestFit="1" customWidth="1"/>
    <col min="2" max="2" width="68.77734375" style="8" customWidth="1"/>
    <col min="3" max="11" width="28.21875" style="8" customWidth="1"/>
    <col min="12" max="16384" width="8.77734375" style="8"/>
  </cols>
  <sheetData>
    <row r="1" spans="1:11">
      <c r="A1" s="504" t="s">
        <v>680</v>
      </c>
      <c r="B1" s="518" t="str">
        <f>'Info '!C2</f>
        <v>Crystal</v>
      </c>
    </row>
    <row r="2" spans="1:11">
      <c r="A2" s="66" t="s">
        <v>31</v>
      </c>
      <c r="B2" s="513">
        <f>'1. key ratios '!B2</f>
        <v>46112</v>
      </c>
    </row>
    <row r="3" spans="1:11">
      <c r="A3" s="404" t="s">
        <v>436</v>
      </c>
    </row>
    <row r="4" spans="1:11">
      <c r="C4" s="435" t="s">
        <v>626</v>
      </c>
      <c r="D4" s="435" t="s">
        <v>625</v>
      </c>
      <c r="E4" s="435" t="s">
        <v>624</v>
      </c>
      <c r="F4" s="435" t="s">
        <v>623</v>
      </c>
      <c r="G4" s="435" t="s">
        <v>622</v>
      </c>
      <c r="H4" s="435" t="s">
        <v>621</v>
      </c>
      <c r="I4" s="435" t="s">
        <v>620</v>
      </c>
      <c r="J4" s="435" t="s">
        <v>619</v>
      </c>
      <c r="K4" s="435" t="s">
        <v>618</v>
      </c>
    </row>
    <row r="5" spans="1:11" ht="103.95" customHeight="1">
      <c r="A5" s="818" t="s">
        <v>617</v>
      </c>
      <c r="B5" s="819"/>
      <c r="C5" s="436" t="s">
        <v>437</v>
      </c>
      <c r="D5" s="436" t="s">
        <v>438</v>
      </c>
      <c r="E5" s="436" t="s">
        <v>689</v>
      </c>
      <c r="F5" s="436" t="s">
        <v>439</v>
      </c>
      <c r="G5" s="436" t="s">
        <v>440</v>
      </c>
      <c r="H5" s="436" t="s">
        <v>441</v>
      </c>
      <c r="I5" s="436" t="s">
        <v>442</v>
      </c>
      <c r="J5" s="436" t="s">
        <v>443</v>
      </c>
      <c r="K5" s="436" t="s">
        <v>444</v>
      </c>
    </row>
    <row r="6" spans="1:11">
      <c r="A6" s="433">
        <v>1</v>
      </c>
      <c r="B6" s="433" t="s">
        <v>406</v>
      </c>
      <c r="C6" s="403">
        <v>0</v>
      </c>
      <c r="D6" s="403">
        <v>0</v>
      </c>
      <c r="E6" s="403">
        <v>0</v>
      </c>
      <c r="F6" s="403">
        <v>16224895.71805761</v>
      </c>
      <c r="G6" s="403">
        <v>63310202.400064245</v>
      </c>
      <c r="H6" s="403">
        <v>0</v>
      </c>
      <c r="I6" s="403">
        <v>74847132.669286788</v>
      </c>
      <c r="J6" s="403">
        <v>14934633.459575834</v>
      </c>
      <c r="K6" s="403">
        <v>410305788.9561246</v>
      </c>
    </row>
    <row r="7" spans="1:11">
      <c r="A7" s="433">
        <v>2</v>
      </c>
      <c r="B7" s="433" t="s">
        <v>445</v>
      </c>
      <c r="C7" s="403">
        <v>0</v>
      </c>
      <c r="D7" s="403">
        <v>0</v>
      </c>
      <c r="E7" s="403">
        <v>0</v>
      </c>
      <c r="F7" s="403">
        <v>0</v>
      </c>
      <c r="G7" s="403">
        <v>0</v>
      </c>
      <c r="H7" s="403">
        <v>0</v>
      </c>
      <c r="I7" s="403">
        <v>0</v>
      </c>
      <c r="J7" s="403">
        <v>0</v>
      </c>
      <c r="K7" s="403">
        <v>0</v>
      </c>
    </row>
    <row r="8" spans="1:11">
      <c r="A8" s="433">
        <v>3</v>
      </c>
      <c r="B8" s="433" t="s">
        <v>414</v>
      </c>
      <c r="C8" s="403">
        <v>0</v>
      </c>
      <c r="D8" s="403">
        <v>0</v>
      </c>
      <c r="E8" s="403">
        <v>0</v>
      </c>
      <c r="F8" s="403">
        <v>0</v>
      </c>
      <c r="G8" s="403">
        <v>0</v>
      </c>
      <c r="H8" s="403">
        <v>0</v>
      </c>
      <c r="I8" s="403">
        <v>0</v>
      </c>
      <c r="J8" s="403">
        <v>0</v>
      </c>
      <c r="K8" s="403">
        <v>0</v>
      </c>
    </row>
    <row r="9" spans="1:11">
      <c r="A9" s="433">
        <v>4</v>
      </c>
      <c r="B9" s="437" t="s">
        <v>446</v>
      </c>
      <c r="C9" s="403">
        <v>0</v>
      </c>
      <c r="D9" s="403">
        <v>0</v>
      </c>
      <c r="E9" s="403">
        <v>0</v>
      </c>
      <c r="F9" s="403">
        <v>192588.60846698753</v>
      </c>
      <c r="G9" s="403">
        <v>2049799.0308876375</v>
      </c>
      <c r="H9" s="403">
        <v>0</v>
      </c>
      <c r="I9" s="403">
        <v>1792660.7631130898</v>
      </c>
      <c r="J9" s="403">
        <v>1281066.631941627</v>
      </c>
      <c r="K9" s="403">
        <v>16165158.59247737</v>
      </c>
    </row>
    <row r="10" spans="1:11">
      <c r="A10" s="433">
        <v>5</v>
      </c>
      <c r="B10" s="437" t="s">
        <v>447</v>
      </c>
      <c r="C10" s="403">
        <v>0</v>
      </c>
      <c r="D10" s="403">
        <v>0</v>
      </c>
      <c r="E10" s="403">
        <v>0</v>
      </c>
      <c r="F10" s="403">
        <v>0</v>
      </c>
      <c r="G10" s="403">
        <v>0</v>
      </c>
      <c r="H10" s="403">
        <v>0</v>
      </c>
      <c r="I10" s="403">
        <v>0</v>
      </c>
      <c r="J10" s="403">
        <v>0</v>
      </c>
      <c r="K10" s="403">
        <v>0</v>
      </c>
    </row>
    <row r="11" spans="1:11">
      <c r="A11" s="433">
        <v>6</v>
      </c>
      <c r="B11" s="437" t="s">
        <v>448</v>
      </c>
      <c r="C11" s="403">
        <v>0</v>
      </c>
      <c r="D11" s="403">
        <v>0</v>
      </c>
      <c r="E11" s="403">
        <v>0</v>
      </c>
      <c r="F11" s="403">
        <v>0</v>
      </c>
      <c r="G11" s="403">
        <v>0</v>
      </c>
      <c r="H11" s="403">
        <v>0</v>
      </c>
      <c r="I11" s="403">
        <v>0</v>
      </c>
      <c r="J11" s="403">
        <v>0</v>
      </c>
      <c r="K11" s="403">
        <v>0</v>
      </c>
    </row>
    <row r="13" spans="1:11">
      <c r="B13" s="14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72"/>
  <sheetViews>
    <sheetView zoomScale="70" zoomScaleNormal="70" workbookViewId="0">
      <pane xSplit="2" ySplit="6" topLeftCell="C44" activePane="bottomRight" state="frozen"/>
      <selection activeCell="B42" sqref="B42"/>
      <selection pane="topRight" activeCell="B42" sqref="B42"/>
      <selection pane="bottomLeft" activeCell="B42" sqref="B42"/>
      <selection pane="bottomRight" activeCell="C55" sqref="C55:D69"/>
    </sheetView>
  </sheetViews>
  <sheetFormatPr defaultColWidth="8.77734375" defaultRowHeight="13.8"/>
  <cols>
    <col min="1" max="1" width="11.44140625" style="569" bestFit="1" customWidth="1"/>
    <col min="2" max="2" width="69.21875" style="240" customWidth="1"/>
    <col min="3" max="3" width="13.6640625" style="555" customWidth="1"/>
    <col min="4" max="4" width="14.44140625" style="555" customWidth="1"/>
    <col min="5" max="8" width="13.21875" style="555" customWidth="1"/>
    <col min="9" max="16384" width="8.77734375" style="555"/>
  </cols>
  <sheetData>
    <row r="1" spans="1:8">
      <c r="A1" s="552" t="s">
        <v>680</v>
      </c>
      <c r="B1" s="553" t="str">
        <f>'Info '!C2</f>
        <v>Crystal</v>
      </c>
      <c r="C1" s="554"/>
    </row>
    <row r="2" spans="1:8">
      <c r="A2" s="552" t="s">
        <v>31</v>
      </c>
      <c r="B2" s="556">
        <f>'1. key ratios '!B2</f>
        <v>46112</v>
      </c>
      <c r="C2" s="554"/>
    </row>
    <row r="3" spans="1:8">
      <c r="A3" s="557"/>
      <c r="B3" s="554"/>
      <c r="C3" s="554"/>
    </row>
    <row r="4" spans="1:8" ht="21" customHeight="1">
      <c r="A4" s="707" t="s">
        <v>7</v>
      </c>
      <c r="B4" s="708" t="s">
        <v>488</v>
      </c>
      <c r="C4" s="709" t="s">
        <v>489</v>
      </c>
      <c r="D4" s="709"/>
      <c r="E4" s="709"/>
      <c r="F4" s="709" t="s">
        <v>490</v>
      </c>
      <c r="G4" s="709"/>
      <c r="H4" s="710"/>
    </row>
    <row r="5" spans="1:8" ht="21" customHeight="1">
      <c r="A5" s="707"/>
      <c r="B5" s="708"/>
      <c r="C5" s="236" t="s">
        <v>32</v>
      </c>
      <c r="D5" s="236" t="s">
        <v>33</v>
      </c>
      <c r="E5" s="236" t="s">
        <v>34</v>
      </c>
      <c r="F5" s="236" t="s">
        <v>32</v>
      </c>
      <c r="G5" s="236" t="s">
        <v>33</v>
      </c>
      <c r="H5" s="236" t="s">
        <v>34</v>
      </c>
    </row>
    <row r="6" spans="1:8" ht="26.55" customHeight="1">
      <c r="A6" s="707"/>
      <c r="B6" s="458" t="s">
        <v>491</v>
      </c>
      <c r="C6" s="711"/>
      <c r="D6" s="712"/>
      <c r="E6" s="712"/>
      <c r="F6" s="712"/>
      <c r="G6" s="712"/>
      <c r="H6" s="713"/>
    </row>
    <row r="7" spans="1:8" ht="22.95" customHeight="1">
      <c r="A7" s="447">
        <v>1</v>
      </c>
      <c r="B7" s="459" t="s">
        <v>492</v>
      </c>
      <c r="C7" s="589">
        <f>SUM(C8:C10)</f>
        <v>17443004.699999996</v>
      </c>
      <c r="D7" s="590">
        <f>SUM(D8:D10)</f>
        <v>36515777.301200002</v>
      </c>
      <c r="E7" s="667">
        <f>C7+D7</f>
        <v>53958782.001199998</v>
      </c>
      <c r="F7" s="361">
        <f>SUM(F8:F10)</f>
        <v>0</v>
      </c>
      <c r="G7" s="361">
        <f>SUM(G8:G10)</f>
        <v>0</v>
      </c>
      <c r="H7" s="362">
        <f>F7+G7</f>
        <v>0</v>
      </c>
    </row>
    <row r="8" spans="1:8">
      <c r="A8" s="447">
        <v>1.1000000000000001</v>
      </c>
      <c r="B8" s="558" t="s">
        <v>493</v>
      </c>
      <c r="C8" s="589">
        <v>8760331.5499999989</v>
      </c>
      <c r="D8" s="589">
        <v>13283599.971100004</v>
      </c>
      <c r="E8" s="667">
        <f t="shared" ref="E8:E36" si="0">C8+D8</f>
        <v>22043931.521100003</v>
      </c>
      <c r="F8" s="361"/>
      <c r="G8" s="361"/>
      <c r="H8" s="362">
        <f t="shared" ref="H8:H36" si="1">F8+G8</f>
        <v>0</v>
      </c>
    </row>
    <row r="9" spans="1:8">
      <c r="A9" s="447">
        <v>1.2</v>
      </c>
      <c r="B9" s="558" t="s">
        <v>494</v>
      </c>
      <c r="C9" s="589">
        <v>5414607.6399999997</v>
      </c>
      <c r="D9" s="589">
        <v>21590491.3838</v>
      </c>
      <c r="E9" s="667">
        <f t="shared" si="0"/>
        <v>27005099.023800001</v>
      </c>
      <c r="F9" s="361"/>
      <c r="G9" s="361"/>
      <c r="H9" s="362">
        <f t="shared" si="1"/>
        <v>0</v>
      </c>
    </row>
    <row r="10" spans="1:8">
      <c r="A10" s="447">
        <v>1.3</v>
      </c>
      <c r="B10" s="558" t="s">
        <v>495</v>
      </c>
      <c r="C10" s="589">
        <v>3268065.51</v>
      </c>
      <c r="D10" s="589">
        <v>1641685.9463</v>
      </c>
      <c r="E10" s="667">
        <f t="shared" si="0"/>
        <v>4909751.4562999997</v>
      </c>
      <c r="F10" s="361"/>
      <c r="G10" s="361"/>
      <c r="H10" s="362">
        <f t="shared" si="1"/>
        <v>0</v>
      </c>
    </row>
    <row r="11" spans="1:8">
      <c r="A11" s="447">
        <v>2</v>
      </c>
      <c r="B11" s="460" t="s">
        <v>496</v>
      </c>
      <c r="C11" s="589">
        <v>0</v>
      </c>
      <c r="D11" s="589">
        <v>0</v>
      </c>
      <c r="E11" s="667">
        <f t="shared" si="0"/>
        <v>0</v>
      </c>
      <c r="F11" s="361"/>
      <c r="G11" s="361"/>
      <c r="H11" s="362">
        <f t="shared" si="1"/>
        <v>0</v>
      </c>
    </row>
    <row r="12" spans="1:8">
      <c r="A12" s="447">
        <v>2.1</v>
      </c>
      <c r="B12" s="559" t="s">
        <v>497</v>
      </c>
      <c r="C12" s="589">
        <v>0</v>
      </c>
      <c r="D12" s="589">
        <v>0</v>
      </c>
      <c r="E12" s="667">
        <f t="shared" si="0"/>
        <v>0</v>
      </c>
      <c r="F12" s="361"/>
      <c r="G12" s="361"/>
      <c r="H12" s="362">
        <f t="shared" si="1"/>
        <v>0</v>
      </c>
    </row>
    <row r="13" spans="1:8" ht="26.55" customHeight="1">
      <c r="A13" s="447">
        <v>3</v>
      </c>
      <c r="B13" s="461" t="s">
        <v>498</v>
      </c>
      <c r="C13" s="589">
        <v>0</v>
      </c>
      <c r="D13" s="589">
        <v>0</v>
      </c>
      <c r="E13" s="667">
        <f t="shared" si="0"/>
        <v>0</v>
      </c>
      <c r="F13" s="361"/>
      <c r="G13" s="361"/>
      <c r="H13" s="362">
        <f t="shared" si="1"/>
        <v>0</v>
      </c>
    </row>
    <row r="14" spans="1:8" ht="26.55" customHeight="1">
      <c r="A14" s="447">
        <v>4</v>
      </c>
      <c r="B14" s="462" t="s">
        <v>499</v>
      </c>
      <c r="C14" s="589">
        <v>0</v>
      </c>
      <c r="D14" s="589">
        <v>0</v>
      </c>
      <c r="E14" s="667">
        <f t="shared" si="0"/>
        <v>0</v>
      </c>
      <c r="F14" s="361"/>
      <c r="G14" s="361"/>
      <c r="H14" s="362">
        <f t="shared" si="1"/>
        <v>0</v>
      </c>
    </row>
    <row r="15" spans="1:8" ht="24.45" customHeight="1">
      <c r="A15" s="447">
        <v>5</v>
      </c>
      <c r="B15" s="463" t="s">
        <v>500</v>
      </c>
      <c r="C15" s="589">
        <f>SUM(C16:C18)</f>
        <v>0</v>
      </c>
      <c r="D15" s="589">
        <f>SUM(D16:D18)</f>
        <v>0</v>
      </c>
      <c r="E15" s="667">
        <f t="shared" si="0"/>
        <v>0</v>
      </c>
      <c r="F15" s="361">
        <f>SUM(F16:F18)</f>
        <v>0</v>
      </c>
      <c r="G15" s="361">
        <f>SUM(G16:G18)</f>
        <v>0</v>
      </c>
      <c r="H15" s="362">
        <f t="shared" si="1"/>
        <v>0</v>
      </c>
    </row>
    <row r="16" spans="1:8">
      <c r="A16" s="447">
        <v>5.0999999999999996</v>
      </c>
      <c r="B16" s="560" t="s">
        <v>501</v>
      </c>
      <c r="C16" s="589">
        <v>0</v>
      </c>
      <c r="D16" s="589">
        <v>0</v>
      </c>
      <c r="E16" s="667">
        <f t="shared" si="0"/>
        <v>0</v>
      </c>
      <c r="F16" s="361"/>
      <c r="G16" s="361"/>
      <c r="H16" s="362">
        <f t="shared" si="1"/>
        <v>0</v>
      </c>
    </row>
    <row r="17" spans="1:8">
      <c r="A17" s="447">
        <v>5.2</v>
      </c>
      <c r="B17" s="560" t="s">
        <v>502</v>
      </c>
      <c r="C17" s="589">
        <v>0</v>
      </c>
      <c r="D17" s="589">
        <v>0</v>
      </c>
      <c r="E17" s="667">
        <f t="shared" si="0"/>
        <v>0</v>
      </c>
      <c r="F17" s="361"/>
      <c r="G17" s="361"/>
      <c r="H17" s="362">
        <f t="shared" si="1"/>
        <v>0</v>
      </c>
    </row>
    <row r="18" spans="1:8">
      <c r="A18" s="447">
        <v>5.3</v>
      </c>
      <c r="B18" s="561" t="s">
        <v>503</v>
      </c>
      <c r="C18" s="589">
        <v>0</v>
      </c>
      <c r="D18" s="589">
        <v>0</v>
      </c>
      <c r="E18" s="667">
        <f t="shared" si="0"/>
        <v>0</v>
      </c>
      <c r="F18" s="361"/>
      <c r="G18" s="361"/>
      <c r="H18" s="362">
        <f t="shared" si="1"/>
        <v>0</v>
      </c>
    </row>
    <row r="19" spans="1:8">
      <c r="A19" s="447">
        <v>6</v>
      </c>
      <c r="B19" s="461" t="s">
        <v>504</v>
      </c>
      <c r="C19" s="589">
        <f>SUM(C20:C21)</f>
        <v>576753961.94992507</v>
      </c>
      <c r="D19" s="589">
        <f>SUM(D20:D21)</f>
        <v>16667.053099999997</v>
      </c>
      <c r="E19" s="667">
        <f t="shared" si="0"/>
        <v>576770629.00302505</v>
      </c>
      <c r="F19" s="361">
        <f>SUM(F20:F21)</f>
        <v>0</v>
      </c>
      <c r="G19" s="361">
        <f>SUM(G20:G21)</f>
        <v>0</v>
      </c>
      <c r="H19" s="362">
        <f t="shared" si="1"/>
        <v>0</v>
      </c>
    </row>
    <row r="20" spans="1:8">
      <c r="A20" s="447">
        <v>6.1</v>
      </c>
      <c r="B20" s="560" t="s">
        <v>502</v>
      </c>
      <c r="C20" s="589">
        <v>0</v>
      </c>
      <c r="D20" s="589">
        <v>0</v>
      </c>
      <c r="E20" s="667">
        <f t="shared" si="0"/>
        <v>0</v>
      </c>
      <c r="F20" s="361"/>
      <c r="G20" s="361"/>
      <c r="H20" s="362">
        <f t="shared" si="1"/>
        <v>0</v>
      </c>
    </row>
    <row r="21" spans="1:8">
      <c r="A21" s="447">
        <v>6.2</v>
      </c>
      <c r="B21" s="561" t="s">
        <v>503</v>
      </c>
      <c r="C21" s="589">
        <v>576753961.94992507</v>
      </c>
      <c r="D21" s="589">
        <v>16667.053099999997</v>
      </c>
      <c r="E21" s="667">
        <f t="shared" si="0"/>
        <v>576770629.00302505</v>
      </c>
      <c r="F21" s="361"/>
      <c r="G21" s="361"/>
      <c r="H21" s="362">
        <f t="shared" si="1"/>
        <v>0</v>
      </c>
    </row>
    <row r="22" spans="1:8">
      <c r="A22" s="447">
        <v>7</v>
      </c>
      <c r="B22" s="460" t="s">
        <v>505</v>
      </c>
      <c r="C22" s="589">
        <v>549791</v>
      </c>
      <c r="D22" s="589">
        <v>0</v>
      </c>
      <c r="E22" s="667">
        <f t="shared" si="0"/>
        <v>549791</v>
      </c>
      <c r="F22" s="361"/>
      <c r="G22" s="361"/>
      <c r="H22" s="362">
        <f t="shared" si="1"/>
        <v>0</v>
      </c>
    </row>
    <row r="23" spans="1:8">
      <c r="A23" s="447">
        <v>8</v>
      </c>
      <c r="B23" s="460" t="s">
        <v>506</v>
      </c>
      <c r="C23" s="589">
        <v>0</v>
      </c>
      <c r="D23" s="589">
        <v>0</v>
      </c>
      <c r="E23" s="667">
        <f t="shared" si="0"/>
        <v>0</v>
      </c>
      <c r="F23" s="361"/>
      <c r="G23" s="361"/>
      <c r="H23" s="362">
        <f t="shared" si="1"/>
        <v>0</v>
      </c>
    </row>
    <row r="24" spans="1:8">
      <c r="A24" s="447">
        <v>9</v>
      </c>
      <c r="B24" s="462" t="s">
        <v>507</v>
      </c>
      <c r="C24" s="589">
        <f>SUM(C25:C26)</f>
        <v>25004401.72000001</v>
      </c>
      <c r="D24" s="589">
        <f>SUM(D25:D26)</f>
        <v>0</v>
      </c>
      <c r="E24" s="667">
        <f t="shared" si="0"/>
        <v>25004401.72000001</v>
      </c>
      <c r="F24" s="361">
        <f>SUM(F25:F26)</f>
        <v>0</v>
      </c>
      <c r="G24" s="361">
        <f>SUM(G25:G26)</f>
        <v>0</v>
      </c>
      <c r="H24" s="362">
        <f t="shared" si="1"/>
        <v>0</v>
      </c>
    </row>
    <row r="25" spans="1:8">
      <c r="A25" s="447">
        <v>9.1</v>
      </c>
      <c r="B25" s="560" t="s">
        <v>508</v>
      </c>
      <c r="C25" s="589">
        <v>25004401.72000001</v>
      </c>
      <c r="D25" s="589">
        <v>0</v>
      </c>
      <c r="E25" s="667">
        <f t="shared" si="0"/>
        <v>25004401.72000001</v>
      </c>
      <c r="F25" s="361"/>
      <c r="G25" s="361"/>
      <c r="H25" s="362">
        <f t="shared" si="1"/>
        <v>0</v>
      </c>
    </row>
    <row r="26" spans="1:8">
      <c r="A26" s="447">
        <v>9.1999999999999993</v>
      </c>
      <c r="B26" s="560" t="s">
        <v>509</v>
      </c>
      <c r="C26" s="589">
        <v>0</v>
      </c>
      <c r="D26" s="589">
        <v>0</v>
      </c>
      <c r="E26" s="667">
        <f t="shared" si="0"/>
        <v>0</v>
      </c>
      <c r="F26" s="361"/>
      <c r="G26" s="361"/>
      <c r="H26" s="362">
        <f t="shared" si="1"/>
        <v>0</v>
      </c>
    </row>
    <row r="27" spans="1:8">
      <c r="A27" s="447">
        <v>10</v>
      </c>
      <c r="B27" s="462" t="s">
        <v>510</v>
      </c>
      <c r="C27" s="589">
        <f>SUM(C28:C29)</f>
        <v>8430538.2199999988</v>
      </c>
      <c r="D27" s="589">
        <f>SUM(D28:D29)</f>
        <v>0</v>
      </c>
      <c r="E27" s="667">
        <f t="shared" si="0"/>
        <v>8430538.2199999988</v>
      </c>
      <c r="F27" s="361">
        <f>SUM(F28:F29)</f>
        <v>0</v>
      </c>
      <c r="G27" s="361">
        <f>SUM(G28:G29)</f>
        <v>0</v>
      </c>
      <c r="H27" s="362">
        <f t="shared" si="1"/>
        <v>0</v>
      </c>
    </row>
    <row r="28" spans="1:8">
      <c r="A28" s="447">
        <v>10.1</v>
      </c>
      <c r="B28" s="560" t="s">
        <v>511</v>
      </c>
      <c r="C28" s="589">
        <v>0</v>
      </c>
      <c r="D28" s="589">
        <v>0</v>
      </c>
      <c r="E28" s="667">
        <f t="shared" si="0"/>
        <v>0</v>
      </c>
      <c r="F28" s="361"/>
      <c r="G28" s="361"/>
      <c r="H28" s="362">
        <f t="shared" si="1"/>
        <v>0</v>
      </c>
    </row>
    <row r="29" spans="1:8">
      <c r="A29" s="447">
        <v>10.199999999999999</v>
      </c>
      <c r="B29" s="560" t="s">
        <v>512</v>
      </c>
      <c r="C29" s="589">
        <v>8430538.2199999988</v>
      </c>
      <c r="D29" s="589">
        <v>0</v>
      </c>
      <c r="E29" s="667">
        <f t="shared" si="0"/>
        <v>8430538.2199999988</v>
      </c>
      <c r="F29" s="361"/>
      <c r="G29" s="361"/>
      <c r="H29" s="362">
        <f t="shared" si="1"/>
        <v>0</v>
      </c>
    </row>
    <row r="30" spans="1:8">
      <c r="A30" s="447">
        <v>11</v>
      </c>
      <c r="B30" s="462" t="s">
        <v>513</v>
      </c>
      <c r="C30" s="589">
        <f>SUM(C31:C32)</f>
        <v>2791477.1500000004</v>
      </c>
      <c r="D30" s="589">
        <f>SUM(D31:D32)</f>
        <v>0</v>
      </c>
      <c r="E30" s="667">
        <f t="shared" si="0"/>
        <v>2791477.1500000004</v>
      </c>
      <c r="F30" s="361">
        <f>SUM(F31:F32)</f>
        <v>0</v>
      </c>
      <c r="G30" s="361">
        <f>SUM(G31:G32)</f>
        <v>0</v>
      </c>
      <c r="H30" s="362">
        <f t="shared" si="1"/>
        <v>0</v>
      </c>
    </row>
    <row r="31" spans="1:8">
      <c r="A31" s="447">
        <v>11.1</v>
      </c>
      <c r="B31" s="560" t="s">
        <v>514</v>
      </c>
      <c r="C31" s="589">
        <v>2377531.5300000003</v>
      </c>
      <c r="D31" s="589">
        <v>0</v>
      </c>
      <c r="E31" s="667">
        <f t="shared" si="0"/>
        <v>2377531.5300000003</v>
      </c>
      <c r="F31" s="361"/>
      <c r="G31" s="361"/>
      <c r="H31" s="362">
        <f t="shared" si="1"/>
        <v>0</v>
      </c>
    </row>
    <row r="32" spans="1:8">
      <c r="A32" s="447">
        <v>11.2</v>
      </c>
      <c r="B32" s="560" t="s">
        <v>515</v>
      </c>
      <c r="C32" s="589">
        <v>413945.62</v>
      </c>
      <c r="D32" s="589">
        <v>0</v>
      </c>
      <c r="E32" s="667">
        <f t="shared" si="0"/>
        <v>413945.62</v>
      </c>
      <c r="F32" s="361"/>
      <c r="G32" s="361"/>
      <c r="H32" s="362">
        <f t="shared" si="1"/>
        <v>0</v>
      </c>
    </row>
    <row r="33" spans="1:8">
      <c r="A33" s="447">
        <v>13</v>
      </c>
      <c r="B33" s="462" t="s">
        <v>516</v>
      </c>
      <c r="C33" s="589">
        <v>10071471.620000003</v>
      </c>
      <c r="D33" s="589">
        <v>1150842.466</v>
      </c>
      <c r="E33" s="667">
        <f t="shared" si="0"/>
        <v>11222314.086000003</v>
      </c>
      <c r="F33" s="361"/>
      <c r="G33" s="361"/>
      <c r="H33" s="362">
        <f t="shared" si="1"/>
        <v>0</v>
      </c>
    </row>
    <row r="34" spans="1:8">
      <c r="A34" s="447">
        <v>13.1</v>
      </c>
      <c r="B34" s="562" t="s">
        <v>517</v>
      </c>
      <c r="C34" s="589">
        <v>3168298.3799999994</v>
      </c>
      <c r="D34" s="589">
        <v>0</v>
      </c>
      <c r="E34" s="667">
        <f t="shared" si="0"/>
        <v>3168298.3799999994</v>
      </c>
      <c r="F34" s="361"/>
      <c r="G34" s="361"/>
      <c r="H34" s="362">
        <f t="shared" si="1"/>
        <v>0</v>
      </c>
    </row>
    <row r="35" spans="1:8">
      <c r="A35" s="447">
        <v>13.2</v>
      </c>
      <c r="B35" s="562" t="s">
        <v>518</v>
      </c>
      <c r="C35" s="590">
        <v>0</v>
      </c>
      <c r="D35" s="590">
        <v>0</v>
      </c>
      <c r="E35" s="667">
        <f t="shared" si="0"/>
        <v>0</v>
      </c>
      <c r="F35" s="361"/>
      <c r="G35" s="361"/>
      <c r="H35" s="362">
        <f t="shared" si="1"/>
        <v>0</v>
      </c>
    </row>
    <row r="36" spans="1:8">
      <c r="A36" s="447">
        <v>14</v>
      </c>
      <c r="B36" s="462" t="s">
        <v>519</v>
      </c>
      <c r="C36" s="590">
        <f>SUM(C7,C11,C13,C14,C15,C19,C22,C23,C24,C27,C30,C33)</f>
        <v>641044646.35992515</v>
      </c>
      <c r="D36" s="590">
        <f>SUM(D7,D11,D13,D14,D15,D19,D22,D23,D24,D27,D30,D33)</f>
        <v>37683286.820299998</v>
      </c>
      <c r="E36" s="667">
        <f t="shared" si="0"/>
        <v>678727933.18022513</v>
      </c>
      <c r="F36" s="361">
        <f>SUM(F7,F11,F13,F14,F15,F19,F22,F23,F24,F27,F30,F33)</f>
        <v>0</v>
      </c>
      <c r="G36" s="361">
        <f>SUM(G7,G11,G13,G14,G15,G19,G22,G23,G24,G27,G30,G33)</f>
        <v>0</v>
      </c>
      <c r="H36" s="362">
        <f t="shared" si="1"/>
        <v>0</v>
      </c>
    </row>
    <row r="37" spans="1:8" ht="22.5" customHeight="1">
      <c r="A37" s="447"/>
      <c r="B37" s="237" t="s">
        <v>520</v>
      </c>
      <c r="C37" s="711"/>
      <c r="D37" s="712"/>
      <c r="E37" s="712"/>
      <c r="F37" s="712"/>
      <c r="G37" s="712"/>
      <c r="H37" s="713"/>
    </row>
    <row r="38" spans="1:8">
      <c r="A38" s="447">
        <v>15</v>
      </c>
      <c r="B38" s="460" t="s">
        <v>521</v>
      </c>
      <c r="C38" s="590">
        <v>0</v>
      </c>
      <c r="D38" s="590">
        <v>0</v>
      </c>
      <c r="E38" s="564">
        <f>C38+D38</f>
        <v>0</v>
      </c>
      <c r="F38" s="563"/>
      <c r="G38" s="563"/>
      <c r="H38" s="564">
        <f>F38+G38</f>
        <v>0</v>
      </c>
    </row>
    <row r="39" spans="1:8">
      <c r="A39" s="565">
        <v>15.1</v>
      </c>
      <c r="B39" s="559" t="s">
        <v>497</v>
      </c>
      <c r="C39" s="590">
        <v>0</v>
      </c>
      <c r="D39" s="590">
        <v>0</v>
      </c>
      <c r="E39" s="564">
        <f t="shared" ref="E39:E53" si="2">C39+D39</f>
        <v>0</v>
      </c>
      <c r="F39" s="563"/>
      <c r="G39" s="563"/>
      <c r="H39" s="564">
        <f t="shared" ref="H39:H53" si="3">F39+G39</f>
        <v>0</v>
      </c>
    </row>
    <row r="40" spans="1:8" ht="24" customHeight="1">
      <c r="A40" s="565">
        <v>16</v>
      </c>
      <c r="B40" s="460" t="s">
        <v>522</v>
      </c>
      <c r="C40" s="589">
        <v>10169943.660000002</v>
      </c>
      <c r="D40" s="589">
        <v>0</v>
      </c>
      <c r="E40" s="564">
        <f t="shared" si="2"/>
        <v>10169943.660000002</v>
      </c>
      <c r="F40" s="563"/>
      <c r="G40" s="563"/>
      <c r="H40" s="564">
        <f t="shared" si="3"/>
        <v>0</v>
      </c>
    </row>
    <row r="41" spans="1:8">
      <c r="A41" s="565">
        <v>17</v>
      </c>
      <c r="B41" s="460" t="s">
        <v>523</v>
      </c>
      <c r="C41" s="589">
        <f>SUM(C42:C45)</f>
        <v>271049858.75999886</v>
      </c>
      <c r="D41" s="589">
        <f>SUM(D42:D45)</f>
        <v>226762281.32870328</v>
      </c>
      <c r="E41" s="564">
        <f t="shared" si="2"/>
        <v>497812140.08870214</v>
      </c>
      <c r="F41" s="563">
        <f>SUM(F42:F45)</f>
        <v>0</v>
      </c>
      <c r="G41" s="563">
        <f>SUM(G42:G45)</f>
        <v>0</v>
      </c>
      <c r="H41" s="564">
        <f t="shared" si="3"/>
        <v>0</v>
      </c>
    </row>
    <row r="42" spans="1:8">
      <c r="A42" s="565">
        <v>17.100000000000001</v>
      </c>
      <c r="B42" s="566" t="s">
        <v>524</v>
      </c>
      <c r="C42" s="589">
        <v>25762309.929998845</v>
      </c>
      <c r="D42" s="589">
        <v>13042176.884899998</v>
      </c>
      <c r="E42" s="564">
        <f t="shared" si="2"/>
        <v>38804486.814898841</v>
      </c>
      <c r="F42" s="563"/>
      <c r="G42" s="563"/>
      <c r="H42" s="564">
        <f t="shared" si="3"/>
        <v>0</v>
      </c>
    </row>
    <row r="43" spans="1:8">
      <c r="A43" s="565">
        <v>17.2</v>
      </c>
      <c r="B43" s="558" t="s">
        <v>525</v>
      </c>
      <c r="C43" s="589">
        <v>199216143.38000003</v>
      </c>
      <c r="D43" s="589">
        <v>197363083.69850329</v>
      </c>
      <c r="E43" s="564">
        <f t="shared" si="2"/>
        <v>396579227.07850331</v>
      </c>
      <c r="F43" s="563"/>
      <c r="G43" s="563"/>
      <c r="H43" s="564">
        <f t="shared" si="3"/>
        <v>0</v>
      </c>
    </row>
    <row r="44" spans="1:8">
      <c r="A44" s="565">
        <v>17.3</v>
      </c>
      <c r="B44" s="566" t="s">
        <v>526</v>
      </c>
      <c r="C44" s="589">
        <v>41343589.62999998</v>
      </c>
      <c r="D44" s="589">
        <v>16147468.566499995</v>
      </c>
      <c r="E44" s="564">
        <f t="shared" si="2"/>
        <v>57491058.196499974</v>
      </c>
      <c r="F44" s="563"/>
      <c r="G44" s="563"/>
      <c r="H44" s="564">
        <f t="shared" si="3"/>
        <v>0</v>
      </c>
    </row>
    <row r="45" spans="1:8">
      <c r="A45" s="565">
        <v>17.399999999999999</v>
      </c>
      <c r="B45" s="566" t="s">
        <v>527</v>
      </c>
      <c r="C45" s="589">
        <v>4727815.8199999984</v>
      </c>
      <c r="D45" s="589">
        <v>209552.17880000002</v>
      </c>
      <c r="E45" s="564">
        <f t="shared" si="2"/>
        <v>4937367.9987999983</v>
      </c>
      <c r="F45" s="563"/>
      <c r="G45" s="563"/>
      <c r="H45" s="564">
        <f t="shared" si="3"/>
        <v>0</v>
      </c>
    </row>
    <row r="46" spans="1:8">
      <c r="A46" s="565">
        <v>18</v>
      </c>
      <c r="B46" s="462" t="s">
        <v>528</v>
      </c>
      <c r="C46" s="589">
        <v>202123.46000000002</v>
      </c>
      <c r="D46" s="589">
        <v>0</v>
      </c>
      <c r="E46" s="564">
        <f t="shared" si="2"/>
        <v>202123.46000000002</v>
      </c>
      <c r="F46" s="563"/>
      <c r="G46" s="563"/>
      <c r="H46" s="564">
        <f t="shared" si="3"/>
        <v>0</v>
      </c>
    </row>
    <row r="47" spans="1:8">
      <c r="A47" s="565">
        <v>19</v>
      </c>
      <c r="B47" s="462" t="s">
        <v>529</v>
      </c>
      <c r="C47" s="589">
        <f>SUM(C48:C49)</f>
        <v>0</v>
      </c>
      <c r="D47" s="589">
        <f>SUM(D48:D49)</f>
        <v>0</v>
      </c>
      <c r="E47" s="564">
        <f t="shared" si="2"/>
        <v>0</v>
      </c>
      <c r="F47" s="563">
        <f>SUM(F48:F49)</f>
        <v>0</v>
      </c>
      <c r="G47" s="563">
        <f>SUM(G48:G49)</f>
        <v>0</v>
      </c>
      <c r="H47" s="564">
        <f t="shared" si="3"/>
        <v>0</v>
      </c>
    </row>
    <row r="48" spans="1:8">
      <c r="A48" s="565">
        <v>19.100000000000001</v>
      </c>
      <c r="B48" s="567" t="s">
        <v>530</v>
      </c>
      <c r="C48" s="589">
        <v>0</v>
      </c>
      <c r="D48" s="589">
        <v>0</v>
      </c>
      <c r="E48" s="564">
        <f t="shared" si="2"/>
        <v>0</v>
      </c>
      <c r="F48" s="563"/>
      <c r="G48" s="563"/>
      <c r="H48" s="564">
        <f t="shared" si="3"/>
        <v>0</v>
      </c>
    </row>
    <row r="49" spans="1:8">
      <c r="A49" s="565">
        <v>19.2</v>
      </c>
      <c r="B49" s="567" t="s">
        <v>531</v>
      </c>
      <c r="C49" s="589">
        <v>0</v>
      </c>
      <c r="D49" s="589">
        <v>0</v>
      </c>
      <c r="E49" s="564">
        <f t="shared" si="2"/>
        <v>0</v>
      </c>
      <c r="F49" s="563"/>
      <c r="G49" s="563"/>
      <c r="H49" s="564">
        <f t="shared" si="3"/>
        <v>0</v>
      </c>
    </row>
    <row r="50" spans="1:8">
      <c r="A50" s="565">
        <v>20</v>
      </c>
      <c r="B50" s="464" t="s">
        <v>532</v>
      </c>
      <c r="C50" s="589">
        <v>0</v>
      </c>
      <c r="D50" s="589">
        <v>40668262.525700003</v>
      </c>
      <c r="E50" s="564">
        <f t="shared" si="2"/>
        <v>40668262.525700003</v>
      </c>
      <c r="F50" s="563"/>
      <c r="G50" s="563"/>
      <c r="H50" s="564">
        <f t="shared" si="3"/>
        <v>0</v>
      </c>
    </row>
    <row r="51" spans="1:8">
      <c r="A51" s="565">
        <v>21</v>
      </c>
      <c r="B51" s="460" t="s">
        <v>533</v>
      </c>
      <c r="C51" s="589">
        <v>1585548.14</v>
      </c>
      <c r="D51" s="589">
        <v>16653679.690799998</v>
      </c>
      <c r="E51" s="564">
        <f t="shared" si="2"/>
        <v>18239227.830799997</v>
      </c>
      <c r="F51" s="563"/>
      <c r="G51" s="563"/>
      <c r="H51" s="564">
        <f t="shared" si="3"/>
        <v>0</v>
      </c>
    </row>
    <row r="52" spans="1:8">
      <c r="A52" s="565">
        <v>21.1</v>
      </c>
      <c r="B52" s="558" t="s">
        <v>534</v>
      </c>
      <c r="C52" s="589">
        <v>0</v>
      </c>
      <c r="D52" s="589">
        <v>64562.828200000004</v>
      </c>
      <c r="E52" s="564">
        <f t="shared" si="2"/>
        <v>64562.828200000004</v>
      </c>
      <c r="F52" s="563"/>
      <c r="G52" s="563"/>
      <c r="H52" s="564">
        <f t="shared" si="3"/>
        <v>0</v>
      </c>
    </row>
    <row r="53" spans="1:8">
      <c r="A53" s="565">
        <v>22</v>
      </c>
      <c r="B53" s="463" t="s">
        <v>535</v>
      </c>
      <c r="C53" s="590">
        <f>SUM(C38,C40,C41,C46,C47,C50,C51)</f>
        <v>283007474.01999885</v>
      </c>
      <c r="D53" s="590">
        <f>SUM(D38,D40,D41,D46,D47,D50,D51)</f>
        <v>284084223.54520327</v>
      </c>
      <c r="E53" s="564">
        <f t="shared" si="2"/>
        <v>567091697.56520212</v>
      </c>
      <c r="F53" s="563">
        <f>SUM(F38,F40,F41,F46,F47,F50,F51)</f>
        <v>0</v>
      </c>
      <c r="G53" s="563">
        <f>SUM(G38,G40,G41,G46,G47,G50,G51)</f>
        <v>0</v>
      </c>
      <c r="H53" s="564">
        <f t="shared" si="3"/>
        <v>0</v>
      </c>
    </row>
    <row r="54" spans="1:8" ht="24" customHeight="1">
      <c r="A54" s="565"/>
      <c r="B54" s="238" t="s">
        <v>536</v>
      </c>
      <c r="C54" s="704"/>
      <c r="D54" s="705"/>
      <c r="E54" s="705"/>
      <c r="F54" s="705"/>
      <c r="G54" s="705"/>
      <c r="H54" s="706"/>
    </row>
    <row r="55" spans="1:8">
      <c r="A55" s="565">
        <v>23</v>
      </c>
      <c r="B55" s="464" t="s">
        <v>638</v>
      </c>
      <c r="C55" s="589">
        <v>3634576</v>
      </c>
      <c r="D55" s="590">
        <v>0</v>
      </c>
      <c r="E55" s="564">
        <f>C55+D55</f>
        <v>3634576</v>
      </c>
      <c r="F55" s="563"/>
      <c r="G55" s="563"/>
      <c r="H55" s="564">
        <f>F55+G55</f>
        <v>0</v>
      </c>
    </row>
    <row r="56" spans="1:8">
      <c r="A56" s="565">
        <v>24</v>
      </c>
      <c r="B56" s="464" t="s">
        <v>538</v>
      </c>
      <c r="C56" s="589">
        <v>0</v>
      </c>
      <c r="D56" s="590">
        <v>0</v>
      </c>
      <c r="E56" s="564">
        <f t="shared" ref="E56:E69" si="4">C56+D56</f>
        <v>0</v>
      </c>
      <c r="F56" s="563"/>
      <c r="G56" s="563"/>
      <c r="H56" s="564">
        <f t="shared" ref="H56:H69" si="5">F56+G56</f>
        <v>0</v>
      </c>
    </row>
    <row r="57" spans="1:8">
      <c r="A57" s="565">
        <v>25</v>
      </c>
      <c r="B57" s="462" t="s">
        <v>539</v>
      </c>
      <c r="C57" s="589">
        <v>22109970.23</v>
      </c>
      <c r="D57" s="590">
        <v>0</v>
      </c>
      <c r="E57" s="564">
        <f t="shared" si="4"/>
        <v>22109970.23</v>
      </c>
      <c r="F57" s="563"/>
      <c r="G57" s="563"/>
      <c r="H57" s="564">
        <f t="shared" si="5"/>
        <v>0</v>
      </c>
    </row>
    <row r="58" spans="1:8">
      <c r="A58" s="565">
        <v>26</v>
      </c>
      <c r="B58" s="462" t="s">
        <v>540</v>
      </c>
      <c r="C58" s="589">
        <v>0</v>
      </c>
      <c r="D58" s="590">
        <v>0</v>
      </c>
      <c r="E58" s="564">
        <f t="shared" si="4"/>
        <v>0</v>
      </c>
      <c r="F58" s="563"/>
      <c r="G58" s="563"/>
      <c r="H58" s="564">
        <f t="shared" si="5"/>
        <v>0</v>
      </c>
    </row>
    <row r="59" spans="1:8">
      <c r="A59" s="565">
        <v>27</v>
      </c>
      <c r="B59" s="462" t="s">
        <v>541</v>
      </c>
      <c r="C59" s="589">
        <f>SUM(C60:C61)</f>
        <v>0</v>
      </c>
      <c r="D59" s="590">
        <f>SUM(D60:D61)</f>
        <v>0</v>
      </c>
      <c r="E59" s="564">
        <f t="shared" si="4"/>
        <v>0</v>
      </c>
      <c r="F59" s="563"/>
      <c r="G59" s="563"/>
      <c r="H59" s="564">
        <f t="shared" si="5"/>
        <v>0</v>
      </c>
    </row>
    <row r="60" spans="1:8">
      <c r="A60" s="565">
        <v>27.1</v>
      </c>
      <c r="B60" s="566" t="s">
        <v>542</v>
      </c>
      <c r="C60" s="589">
        <v>0</v>
      </c>
      <c r="D60" s="590">
        <v>0</v>
      </c>
      <c r="E60" s="564">
        <f t="shared" si="4"/>
        <v>0</v>
      </c>
      <c r="F60" s="563"/>
      <c r="G60" s="563"/>
      <c r="H60" s="564">
        <f t="shared" si="5"/>
        <v>0</v>
      </c>
    </row>
    <row r="61" spans="1:8">
      <c r="A61" s="565">
        <v>27.2</v>
      </c>
      <c r="B61" s="566" t="s">
        <v>543</v>
      </c>
      <c r="C61" s="589">
        <v>0</v>
      </c>
      <c r="D61" s="590">
        <v>0</v>
      </c>
      <c r="E61" s="564">
        <f t="shared" si="4"/>
        <v>0</v>
      </c>
      <c r="F61" s="563"/>
      <c r="G61" s="563"/>
      <c r="H61" s="564">
        <f t="shared" si="5"/>
        <v>0</v>
      </c>
    </row>
    <row r="62" spans="1:8">
      <c r="A62" s="565">
        <v>28</v>
      </c>
      <c r="B62" s="465" t="s">
        <v>544</v>
      </c>
      <c r="C62" s="589">
        <v>0</v>
      </c>
      <c r="D62" s="590">
        <v>0</v>
      </c>
      <c r="E62" s="564">
        <f t="shared" si="4"/>
        <v>0</v>
      </c>
      <c r="F62" s="563"/>
      <c r="G62" s="563"/>
      <c r="H62" s="564">
        <f t="shared" si="5"/>
        <v>0</v>
      </c>
    </row>
    <row r="63" spans="1:8">
      <c r="A63" s="565">
        <v>29</v>
      </c>
      <c r="B63" s="462" t="s">
        <v>545</v>
      </c>
      <c r="C63" s="589">
        <f>SUM(C64:C66)</f>
        <v>0</v>
      </c>
      <c r="D63" s="590">
        <f>SUM(D64:D66)</f>
        <v>0</v>
      </c>
      <c r="E63" s="564">
        <f t="shared" si="4"/>
        <v>0</v>
      </c>
      <c r="F63" s="563"/>
      <c r="G63" s="563"/>
      <c r="H63" s="564">
        <f t="shared" si="5"/>
        <v>0</v>
      </c>
    </row>
    <row r="64" spans="1:8">
      <c r="A64" s="565">
        <v>29.1</v>
      </c>
      <c r="B64" s="561" t="s">
        <v>546</v>
      </c>
      <c r="C64" s="589">
        <v>0</v>
      </c>
      <c r="D64" s="590">
        <v>0</v>
      </c>
      <c r="E64" s="564">
        <f t="shared" si="4"/>
        <v>0</v>
      </c>
      <c r="F64" s="563"/>
      <c r="G64" s="563"/>
      <c r="H64" s="564">
        <f t="shared" si="5"/>
        <v>0</v>
      </c>
    </row>
    <row r="65" spans="1:8" ht="25.05" customHeight="1">
      <c r="A65" s="565">
        <v>29.2</v>
      </c>
      <c r="B65" s="567" t="s">
        <v>547</v>
      </c>
      <c r="C65" s="589">
        <v>0</v>
      </c>
      <c r="D65" s="590">
        <v>0</v>
      </c>
      <c r="E65" s="564">
        <f t="shared" si="4"/>
        <v>0</v>
      </c>
      <c r="F65" s="563"/>
      <c r="G65" s="563"/>
      <c r="H65" s="564">
        <f t="shared" si="5"/>
        <v>0</v>
      </c>
    </row>
    <row r="66" spans="1:8" ht="22.5" customHeight="1">
      <c r="A66" s="565">
        <v>29.3</v>
      </c>
      <c r="B66" s="567" t="s">
        <v>548</v>
      </c>
      <c r="C66" s="589">
        <v>0</v>
      </c>
      <c r="D66" s="590">
        <v>0</v>
      </c>
      <c r="E66" s="564">
        <f t="shared" si="4"/>
        <v>0</v>
      </c>
      <c r="F66" s="563"/>
      <c r="G66" s="563"/>
      <c r="H66" s="564">
        <f t="shared" si="5"/>
        <v>0</v>
      </c>
    </row>
    <row r="67" spans="1:8">
      <c r="A67" s="565">
        <v>30</v>
      </c>
      <c r="B67" s="462" t="s">
        <v>549</v>
      </c>
      <c r="C67" s="589">
        <v>85891689.191326097</v>
      </c>
      <c r="D67" s="590">
        <v>0</v>
      </c>
      <c r="E67" s="564">
        <f t="shared" si="4"/>
        <v>85891689.191326097</v>
      </c>
      <c r="F67" s="563"/>
      <c r="G67" s="563"/>
      <c r="H67" s="564">
        <f t="shared" si="5"/>
        <v>0</v>
      </c>
    </row>
    <row r="68" spans="1:8">
      <c r="A68" s="565">
        <v>31</v>
      </c>
      <c r="B68" s="568" t="s">
        <v>753</v>
      </c>
      <c r="C68" s="589">
        <f>SUM(C55,C56,C57,C58,C59,C62,C63,C67)</f>
        <v>111636235.4213261</v>
      </c>
      <c r="D68" s="590">
        <f>SUM(D55,D56,D57,D58,D59,D62,D63,D67)</f>
        <v>0</v>
      </c>
      <c r="E68" s="564">
        <f t="shared" si="4"/>
        <v>111636235.4213261</v>
      </c>
      <c r="F68" s="563">
        <f>SUM(F55,F56,F57,F58,F59,F62,F63,F67)</f>
        <v>0</v>
      </c>
      <c r="G68" s="563">
        <f>SUM(G55,G56,G57,G58,G59,G62,G63,G67)</f>
        <v>0</v>
      </c>
      <c r="H68" s="564">
        <f t="shared" si="5"/>
        <v>0</v>
      </c>
    </row>
    <row r="69" spans="1:8">
      <c r="A69" s="565">
        <v>32</v>
      </c>
      <c r="B69" s="462" t="s">
        <v>551</v>
      </c>
      <c r="C69" s="589">
        <f>SUM(C53,C68)</f>
        <v>394643709.44132495</v>
      </c>
      <c r="D69" s="590">
        <f>SUM(D53,D68)</f>
        <v>284084223.54520327</v>
      </c>
      <c r="E69" s="564">
        <f t="shared" si="4"/>
        <v>678727932.98652816</v>
      </c>
      <c r="F69" s="563">
        <f>SUM(F68)</f>
        <v>0</v>
      </c>
      <c r="G69" s="563">
        <f>SUM(G68)</f>
        <v>0</v>
      </c>
      <c r="H69" s="564">
        <f t="shared" si="5"/>
        <v>0</v>
      </c>
    </row>
    <row r="72" spans="1:8">
      <c r="B72" s="240" t="s">
        <v>754</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20"/>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C24" sqref="C24"/>
    </sheetView>
  </sheetViews>
  <sheetFormatPr defaultColWidth="8.77734375" defaultRowHeight="13.2"/>
  <cols>
    <col min="1" max="1" width="11.109375" style="8" bestFit="1" customWidth="1"/>
    <col min="2" max="2" width="71.77734375" style="8" customWidth="1"/>
    <col min="3" max="3" width="13.44140625" style="8" bestFit="1" customWidth="1"/>
    <col min="4" max="7" width="15.5546875" style="8" customWidth="1"/>
    <col min="8" max="8" width="13.44140625" style="8" bestFit="1" customWidth="1"/>
    <col min="9" max="12" width="17.21875" style="8" customWidth="1"/>
    <col min="13" max="13" width="13.44140625" style="8" customWidth="1"/>
    <col min="14" max="17" width="16.21875" style="8" customWidth="1"/>
    <col min="18" max="18" width="12.33203125" style="8" bestFit="1" customWidth="1"/>
    <col min="19" max="19" width="47" style="8" bestFit="1" customWidth="1"/>
    <col min="20" max="20" width="43.5546875" style="8" bestFit="1" customWidth="1"/>
    <col min="21" max="21" width="46" style="8" bestFit="1" customWidth="1"/>
    <col min="22" max="22" width="43.44140625" style="8" bestFit="1" customWidth="1"/>
    <col min="23" max="16384" width="8.77734375" style="8"/>
  </cols>
  <sheetData>
    <row r="1" spans="1:22">
      <c r="A1" s="506" t="s">
        <v>680</v>
      </c>
      <c r="B1" s="516" t="str">
        <f>'Info '!C2</f>
        <v>Crystal</v>
      </c>
    </row>
    <row r="2" spans="1:22">
      <c r="A2" s="66" t="s">
        <v>31</v>
      </c>
      <c r="B2" s="513">
        <f>'1. key ratios '!B2</f>
        <v>46112</v>
      </c>
    </row>
    <row r="3" spans="1:22">
      <c r="A3" s="404" t="s">
        <v>463</v>
      </c>
    </row>
    <row r="4" spans="1:22">
      <c r="A4" s="404"/>
    </row>
    <row r="5" spans="1:22" ht="24" customHeight="1">
      <c r="A5" s="820" t="s">
        <v>464</v>
      </c>
      <c r="B5" s="821"/>
      <c r="C5" s="824" t="s">
        <v>627</v>
      </c>
      <c r="D5" s="824"/>
      <c r="E5" s="824"/>
      <c r="F5" s="824"/>
      <c r="G5" s="824"/>
      <c r="H5" s="824" t="s">
        <v>482</v>
      </c>
      <c r="I5" s="824"/>
      <c r="J5" s="824"/>
      <c r="K5" s="824"/>
      <c r="L5" s="824"/>
      <c r="M5" s="824" t="s">
        <v>594</v>
      </c>
      <c r="N5" s="824"/>
      <c r="O5" s="824"/>
      <c r="P5" s="824"/>
      <c r="Q5" s="824"/>
      <c r="R5" s="795" t="s">
        <v>465</v>
      </c>
      <c r="S5" s="795" t="s">
        <v>479</v>
      </c>
      <c r="T5" s="795" t="s">
        <v>480</v>
      </c>
      <c r="U5" s="795" t="s">
        <v>635</v>
      </c>
      <c r="V5" s="795" t="s">
        <v>636</v>
      </c>
    </row>
    <row r="6" spans="1:22" ht="36" customHeight="1">
      <c r="A6" s="822"/>
      <c r="B6" s="823"/>
      <c r="C6" s="438"/>
      <c r="D6" s="432" t="s">
        <v>702</v>
      </c>
      <c r="E6" s="432" t="s">
        <v>703</v>
      </c>
      <c r="F6" s="432" t="s">
        <v>704</v>
      </c>
      <c r="G6" s="432" t="s">
        <v>612</v>
      </c>
      <c r="H6" s="438"/>
      <c r="I6" s="432" t="s">
        <v>702</v>
      </c>
      <c r="J6" s="432" t="s">
        <v>703</v>
      </c>
      <c r="K6" s="432" t="s">
        <v>704</v>
      </c>
      <c r="L6" s="432" t="s">
        <v>612</v>
      </c>
      <c r="M6" s="438"/>
      <c r="N6" s="432" t="s">
        <v>702</v>
      </c>
      <c r="O6" s="432" t="s">
        <v>703</v>
      </c>
      <c r="P6" s="432" t="s">
        <v>704</v>
      </c>
      <c r="Q6" s="432" t="s">
        <v>612</v>
      </c>
      <c r="R6" s="795"/>
      <c r="S6" s="795"/>
      <c r="T6" s="795"/>
      <c r="U6" s="795"/>
      <c r="V6" s="795"/>
    </row>
    <row r="7" spans="1:22">
      <c r="A7" s="439">
        <v>1</v>
      </c>
      <c r="B7" s="440" t="s">
        <v>473</v>
      </c>
      <c r="C7" s="655">
        <v>10338146.399999999</v>
      </c>
      <c r="D7" s="655">
        <v>9477511.7799999993</v>
      </c>
      <c r="E7" s="655">
        <v>599754</v>
      </c>
      <c r="F7" s="655">
        <v>260880.62000000002</v>
      </c>
      <c r="G7" s="655">
        <v>0</v>
      </c>
      <c r="H7" s="655">
        <v>10409184.57756822</v>
      </c>
      <c r="I7" s="655">
        <v>9472925.4915237986</v>
      </c>
      <c r="J7" s="655">
        <v>610559.52616254601</v>
      </c>
      <c r="K7" s="655">
        <v>325699.55988187611</v>
      </c>
      <c r="L7" s="655">
        <v>0</v>
      </c>
      <c r="M7" s="655">
        <v>94230.23</v>
      </c>
      <c r="N7" s="655">
        <v>14857.660000000002</v>
      </c>
      <c r="O7" s="655">
        <v>7501.6200000000017</v>
      </c>
      <c r="P7" s="655">
        <v>71870.95</v>
      </c>
      <c r="Q7" s="655">
        <v>0</v>
      </c>
      <c r="R7" s="655">
        <v>688</v>
      </c>
      <c r="S7" s="656">
        <v>0.267789141339912</v>
      </c>
      <c r="T7" s="656">
        <v>0.35144490873874501</v>
      </c>
      <c r="U7" s="656">
        <v>0.27129943158727049</v>
      </c>
      <c r="V7" s="657">
        <v>25.16037567299993</v>
      </c>
    </row>
    <row r="8" spans="1:22">
      <c r="A8" s="439">
        <v>2</v>
      </c>
      <c r="B8" s="441" t="s">
        <v>472</v>
      </c>
      <c r="C8" s="655">
        <v>264266257.48240009</v>
      </c>
      <c r="D8" s="655">
        <v>244746298.0800001</v>
      </c>
      <c r="E8" s="655">
        <v>11673373.873499995</v>
      </c>
      <c r="F8" s="655">
        <v>7846585.5289000003</v>
      </c>
      <c r="G8" s="655">
        <v>0</v>
      </c>
      <c r="H8" s="655">
        <v>264067073.16472536</v>
      </c>
      <c r="I8" s="655">
        <v>243531130.49896517</v>
      </c>
      <c r="J8" s="655">
        <v>12059014.854042122</v>
      </c>
      <c r="K8" s="655">
        <v>8476927.8117180746</v>
      </c>
      <c r="L8" s="655">
        <v>0</v>
      </c>
      <c r="M8" s="655">
        <v>8682223.3599999957</v>
      </c>
      <c r="N8" s="655">
        <v>1616558.4800000049</v>
      </c>
      <c r="O8" s="655">
        <v>960555.64000000036</v>
      </c>
      <c r="P8" s="655">
        <v>6105109.23999999</v>
      </c>
      <c r="Q8" s="655">
        <v>0</v>
      </c>
      <c r="R8" s="655">
        <v>45505</v>
      </c>
      <c r="S8" s="656">
        <v>0.26240637582124621</v>
      </c>
      <c r="T8" s="656">
        <v>0.34210186965140815</v>
      </c>
      <c r="U8" s="656">
        <v>0.25324646941923895</v>
      </c>
      <c r="V8" s="657">
        <v>28.138335943749997</v>
      </c>
    </row>
    <row r="9" spans="1:22">
      <c r="A9" s="439">
        <v>3</v>
      </c>
      <c r="B9" s="441" t="s">
        <v>471</v>
      </c>
      <c r="C9" s="655">
        <v>0</v>
      </c>
      <c r="D9" s="655">
        <v>0</v>
      </c>
      <c r="E9" s="655">
        <v>0</v>
      </c>
      <c r="F9" s="655">
        <v>0</v>
      </c>
      <c r="G9" s="655">
        <v>0</v>
      </c>
      <c r="H9" s="655">
        <v>0</v>
      </c>
      <c r="I9" s="655">
        <v>0</v>
      </c>
      <c r="J9" s="655">
        <v>0</v>
      </c>
      <c r="K9" s="655">
        <v>0</v>
      </c>
      <c r="L9" s="655">
        <v>0</v>
      </c>
      <c r="M9" s="655">
        <v>0</v>
      </c>
      <c r="N9" s="655">
        <v>0</v>
      </c>
      <c r="O9" s="655">
        <v>0</v>
      </c>
      <c r="P9" s="655">
        <v>0</v>
      </c>
      <c r="Q9" s="655">
        <v>0</v>
      </c>
      <c r="R9" s="655">
        <v>0</v>
      </c>
      <c r="S9" s="656">
        <v>0</v>
      </c>
      <c r="T9" s="656">
        <v>0</v>
      </c>
      <c r="U9" s="656">
        <v>0</v>
      </c>
      <c r="V9" s="657">
        <v>0</v>
      </c>
    </row>
    <row r="10" spans="1:22">
      <c r="A10" s="439">
        <v>4</v>
      </c>
      <c r="B10" s="441" t="s">
        <v>470</v>
      </c>
      <c r="C10" s="655">
        <v>20582349.460000023</v>
      </c>
      <c r="D10" s="655">
        <v>19024505.060000025</v>
      </c>
      <c r="E10" s="655">
        <v>901852.39999999886</v>
      </c>
      <c r="F10" s="655">
        <v>655992.00000000023</v>
      </c>
      <c r="G10" s="655">
        <v>0</v>
      </c>
      <c r="H10" s="655">
        <v>20522022.421109322</v>
      </c>
      <c r="I10" s="655">
        <v>18776896.884555034</v>
      </c>
      <c r="J10" s="655">
        <v>948294.88049550075</v>
      </c>
      <c r="K10" s="655">
        <v>796830.65605878807</v>
      </c>
      <c r="L10" s="655">
        <v>0</v>
      </c>
      <c r="M10" s="655">
        <v>830060.92000000027</v>
      </c>
      <c r="N10" s="655">
        <v>100224.44000000012</v>
      </c>
      <c r="O10" s="655">
        <v>103639.09000000011</v>
      </c>
      <c r="P10" s="655">
        <v>626197.39</v>
      </c>
      <c r="Q10" s="655">
        <v>0</v>
      </c>
      <c r="R10" s="655">
        <v>18210</v>
      </c>
      <c r="S10" s="656">
        <v>0.23702672209316358</v>
      </c>
      <c r="T10" s="656">
        <v>0.32087835368966328</v>
      </c>
      <c r="U10" s="656">
        <v>0.23526677143498478</v>
      </c>
      <c r="V10" s="657">
        <v>11.439662223157441</v>
      </c>
    </row>
    <row r="11" spans="1:22">
      <c r="A11" s="439">
        <v>5</v>
      </c>
      <c r="B11" s="441" t="s">
        <v>469</v>
      </c>
      <c r="C11" s="655">
        <v>0</v>
      </c>
      <c r="D11" s="655">
        <v>0</v>
      </c>
      <c r="E11" s="655">
        <v>0</v>
      </c>
      <c r="F11" s="655">
        <v>0</v>
      </c>
      <c r="G11" s="655">
        <v>0</v>
      </c>
      <c r="H11" s="655">
        <v>0</v>
      </c>
      <c r="I11" s="655">
        <v>0</v>
      </c>
      <c r="J11" s="655">
        <v>0</v>
      </c>
      <c r="K11" s="655">
        <v>0</v>
      </c>
      <c r="L11" s="655">
        <v>0</v>
      </c>
      <c r="M11" s="655">
        <v>0</v>
      </c>
      <c r="N11" s="655">
        <v>0</v>
      </c>
      <c r="O11" s="655">
        <v>0</v>
      </c>
      <c r="P11" s="655">
        <v>0</v>
      </c>
      <c r="Q11" s="655">
        <v>0</v>
      </c>
      <c r="R11" s="655">
        <v>0</v>
      </c>
      <c r="S11" s="656">
        <v>0</v>
      </c>
      <c r="T11" s="656">
        <v>0</v>
      </c>
      <c r="U11" s="656">
        <v>0</v>
      </c>
      <c r="V11" s="657">
        <v>0</v>
      </c>
    </row>
    <row r="12" spans="1:22">
      <c r="A12" s="439">
        <v>6</v>
      </c>
      <c r="B12" s="441" t="s">
        <v>468</v>
      </c>
      <c r="C12" s="655">
        <v>0</v>
      </c>
      <c r="D12" s="655">
        <v>0</v>
      </c>
      <c r="E12" s="655">
        <v>0</v>
      </c>
      <c r="F12" s="655">
        <v>0</v>
      </c>
      <c r="G12" s="655">
        <v>0</v>
      </c>
      <c r="H12" s="655">
        <v>0</v>
      </c>
      <c r="I12" s="655">
        <v>0</v>
      </c>
      <c r="J12" s="655">
        <v>0</v>
      </c>
      <c r="K12" s="655">
        <v>0</v>
      </c>
      <c r="L12" s="655">
        <v>0</v>
      </c>
      <c r="M12" s="655">
        <v>0</v>
      </c>
      <c r="N12" s="655">
        <v>0</v>
      </c>
      <c r="O12" s="655">
        <v>0</v>
      </c>
      <c r="P12" s="655">
        <v>0</v>
      </c>
      <c r="Q12" s="655">
        <v>0</v>
      </c>
      <c r="R12" s="655">
        <v>0</v>
      </c>
      <c r="S12" s="656">
        <v>0</v>
      </c>
      <c r="T12" s="656">
        <v>0</v>
      </c>
      <c r="U12" s="656">
        <v>0</v>
      </c>
      <c r="V12" s="657">
        <v>0</v>
      </c>
    </row>
    <row r="13" spans="1:22">
      <c r="A13" s="439">
        <v>7</v>
      </c>
      <c r="B13" s="441" t="s">
        <v>467</v>
      </c>
      <c r="C13" s="658">
        <v>0</v>
      </c>
      <c r="D13" s="658">
        <v>0</v>
      </c>
      <c r="E13" s="658">
        <v>0</v>
      </c>
      <c r="F13" s="658">
        <v>0</v>
      </c>
      <c r="G13" s="658">
        <v>0</v>
      </c>
      <c r="H13" s="658">
        <v>0</v>
      </c>
      <c r="I13" s="658">
        <v>0</v>
      </c>
      <c r="J13" s="658">
        <v>0</v>
      </c>
      <c r="K13" s="658">
        <v>0</v>
      </c>
      <c r="L13" s="658">
        <v>0</v>
      </c>
      <c r="M13" s="658">
        <v>0</v>
      </c>
      <c r="N13" s="658">
        <v>0</v>
      </c>
      <c r="O13" s="658">
        <v>0</v>
      </c>
      <c r="P13" s="658">
        <v>0</v>
      </c>
      <c r="Q13" s="658">
        <v>0</v>
      </c>
      <c r="R13" s="658">
        <v>0</v>
      </c>
      <c r="S13" s="656">
        <v>0</v>
      </c>
      <c r="T13" s="656">
        <v>0</v>
      </c>
      <c r="U13" s="656">
        <v>0</v>
      </c>
      <c r="V13" s="657">
        <v>0</v>
      </c>
    </row>
    <row r="14" spans="1:22">
      <c r="A14" s="442">
        <v>7.1</v>
      </c>
      <c r="B14" s="443" t="s">
        <v>476</v>
      </c>
      <c r="C14" s="655">
        <v>0</v>
      </c>
      <c r="D14" s="655"/>
      <c r="E14" s="655"/>
      <c r="F14" s="655"/>
      <c r="G14" s="655">
        <v>0</v>
      </c>
      <c r="H14" s="655">
        <v>0</v>
      </c>
      <c r="I14" s="655"/>
      <c r="J14" s="655"/>
      <c r="K14" s="655"/>
      <c r="L14" s="655">
        <v>0</v>
      </c>
      <c r="M14" s="655">
        <v>0</v>
      </c>
      <c r="N14" s="655"/>
      <c r="O14" s="655"/>
      <c r="P14" s="655"/>
      <c r="Q14" s="655">
        <v>0</v>
      </c>
      <c r="R14" s="655"/>
      <c r="S14" s="656"/>
      <c r="T14" s="656"/>
      <c r="U14" s="656"/>
      <c r="V14" s="657"/>
    </row>
    <row r="15" spans="1:22">
      <c r="A15" s="442">
        <v>7.2</v>
      </c>
      <c r="B15" s="443" t="s">
        <v>478</v>
      </c>
      <c r="C15" s="655">
        <v>0</v>
      </c>
      <c r="D15" s="655"/>
      <c r="E15" s="655"/>
      <c r="F15" s="655"/>
      <c r="G15" s="655">
        <v>0</v>
      </c>
      <c r="H15" s="655">
        <v>0</v>
      </c>
      <c r="I15" s="655"/>
      <c r="J15" s="655"/>
      <c r="K15" s="655"/>
      <c r="L15" s="655">
        <v>0</v>
      </c>
      <c r="M15" s="655">
        <v>0</v>
      </c>
      <c r="N15" s="655"/>
      <c r="O15" s="655"/>
      <c r="P15" s="655"/>
      <c r="Q15" s="655">
        <v>0</v>
      </c>
      <c r="R15" s="655"/>
      <c r="S15" s="656"/>
      <c r="T15" s="656"/>
      <c r="U15" s="656"/>
      <c r="V15" s="658"/>
    </row>
    <row r="16" spans="1:22">
      <c r="A16" s="442">
        <v>7.3</v>
      </c>
      <c r="B16" s="443" t="s">
        <v>475</v>
      </c>
      <c r="C16" s="655">
        <v>0</v>
      </c>
      <c r="D16" s="655"/>
      <c r="E16" s="655"/>
      <c r="F16" s="655"/>
      <c r="G16" s="655">
        <v>0</v>
      </c>
      <c r="H16" s="655">
        <v>0</v>
      </c>
      <c r="I16" s="655"/>
      <c r="J16" s="655"/>
      <c r="K16" s="655"/>
      <c r="L16" s="655">
        <v>0</v>
      </c>
      <c r="M16" s="655">
        <v>0</v>
      </c>
      <c r="N16" s="655"/>
      <c r="O16" s="655"/>
      <c r="P16" s="655"/>
      <c r="Q16" s="655">
        <v>0</v>
      </c>
      <c r="R16" s="655"/>
      <c r="S16" s="656"/>
      <c r="T16" s="656"/>
      <c r="U16" s="656"/>
      <c r="V16" s="657"/>
    </row>
    <row r="17" spans="1:22">
      <c r="A17" s="439">
        <v>8</v>
      </c>
      <c r="B17" s="441" t="s">
        <v>474</v>
      </c>
      <c r="C17" s="655">
        <v>19896925.68280001</v>
      </c>
      <c r="D17" s="655">
        <v>17875362.873500008</v>
      </c>
      <c r="E17" s="655">
        <v>1765009.3692999999</v>
      </c>
      <c r="F17" s="655">
        <v>256553.44000000006</v>
      </c>
      <c r="G17" s="655">
        <v>0</v>
      </c>
      <c r="H17" s="655">
        <v>20123199.424944844</v>
      </c>
      <c r="I17" s="655">
        <v>18061096.782679055</v>
      </c>
      <c r="J17" s="655">
        <v>1795572.4725123481</v>
      </c>
      <c r="K17" s="655">
        <v>266530.16975343903</v>
      </c>
      <c r="L17" s="655">
        <v>0</v>
      </c>
      <c r="M17" s="655">
        <v>90949.060000000041</v>
      </c>
      <c r="N17" s="655">
        <v>1363.109999999999</v>
      </c>
      <c r="O17" s="655">
        <v>94.490000000000009</v>
      </c>
      <c r="P17" s="655">
        <v>89491.460000000036</v>
      </c>
      <c r="Q17" s="655">
        <v>0</v>
      </c>
      <c r="R17" s="655">
        <v>11279</v>
      </c>
      <c r="S17" s="656">
        <v>0.21912264403239046</v>
      </c>
      <c r="T17" s="656">
        <v>0.24263582489562224</v>
      </c>
      <c r="U17" s="656">
        <v>0.21984276948911763</v>
      </c>
      <c r="V17" s="657">
        <v>0.92260326557211625</v>
      </c>
    </row>
    <row r="18" spans="1:22">
      <c r="A18" s="444">
        <v>9</v>
      </c>
      <c r="B18" s="445" t="s">
        <v>466</v>
      </c>
      <c r="C18" s="655">
        <v>0</v>
      </c>
      <c r="D18" s="659">
        <v>0</v>
      </c>
      <c r="E18" s="659">
        <v>0</v>
      </c>
      <c r="F18" s="659">
        <v>0</v>
      </c>
      <c r="G18" s="655">
        <v>0</v>
      </c>
      <c r="H18" s="655">
        <v>0</v>
      </c>
      <c r="I18" s="659">
        <v>0</v>
      </c>
      <c r="J18" s="659">
        <v>0</v>
      </c>
      <c r="K18" s="659">
        <v>0</v>
      </c>
      <c r="L18" s="659">
        <v>0</v>
      </c>
      <c r="M18" s="655">
        <v>0</v>
      </c>
      <c r="N18" s="659">
        <v>0</v>
      </c>
      <c r="O18" s="659">
        <v>0</v>
      </c>
      <c r="P18" s="659">
        <v>0</v>
      </c>
      <c r="Q18" s="659">
        <v>0</v>
      </c>
      <c r="R18" s="659">
        <v>0</v>
      </c>
      <c r="S18" s="660">
        <v>0</v>
      </c>
      <c r="T18" s="660">
        <v>0</v>
      </c>
      <c r="U18" s="660">
        <v>0</v>
      </c>
      <c r="V18" s="698">
        <v>0</v>
      </c>
    </row>
    <row r="19" spans="1:22">
      <c r="A19" s="439">
        <v>10</v>
      </c>
      <c r="B19" s="446" t="s">
        <v>477</v>
      </c>
      <c r="C19" s="661">
        <v>315083679.02520013</v>
      </c>
      <c r="D19" s="661">
        <v>291123677.79350013</v>
      </c>
      <c r="E19" s="661">
        <v>14939989.642799994</v>
      </c>
      <c r="F19" s="661">
        <v>9020011.5888999999</v>
      </c>
      <c r="G19" s="661">
        <v>0</v>
      </c>
      <c r="H19" s="661">
        <v>315121479.58834773</v>
      </c>
      <c r="I19" s="661">
        <v>289842049.65772307</v>
      </c>
      <c r="J19" s="661">
        <v>15413441.733212518</v>
      </c>
      <c r="K19" s="661">
        <v>9865988.1974121779</v>
      </c>
      <c r="L19" s="661">
        <v>0</v>
      </c>
      <c r="M19" s="661">
        <v>9697463.5699999966</v>
      </c>
      <c r="N19" s="661">
        <v>1733003.6900000051</v>
      </c>
      <c r="O19" s="661">
        <v>1071790.8400000005</v>
      </c>
      <c r="P19" s="661">
        <v>6892669.0399999898</v>
      </c>
      <c r="Q19" s="661">
        <v>0</v>
      </c>
      <c r="R19" s="661">
        <v>75682</v>
      </c>
      <c r="S19" s="662">
        <v>0.2589086437059806</v>
      </c>
      <c r="T19" s="662">
        <v>0.33652650482596508</v>
      </c>
      <c r="U19" s="662">
        <v>0.25053877565581123</v>
      </c>
      <c r="V19" s="663">
        <v>25.214522841570375</v>
      </c>
    </row>
    <row r="20" spans="1:22" ht="26.4">
      <c r="A20" s="442">
        <v>10.1</v>
      </c>
      <c r="B20" s="443" t="s">
        <v>481</v>
      </c>
      <c r="C20" s="655">
        <v>1217276.2899999998</v>
      </c>
      <c r="D20" s="655">
        <v>1159401.7299999997</v>
      </c>
      <c r="E20" s="655">
        <v>43530.090000000004</v>
      </c>
      <c r="F20" s="655">
        <v>14344.470000000001</v>
      </c>
      <c r="G20" s="655">
        <v>0</v>
      </c>
      <c r="H20" s="655">
        <v>1216240.8290828797</v>
      </c>
      <c r="I20" s="655">
        <v>1156629.1281864964</v>
      </c>
      <c r="J20" s="655">
        <v>44641.649295450778</v>
      </c>
      <c r="K20" s="655">
        <v>14970.051600932282</v>
      </c>
      <c r="L20" s="655">
        <v>0</v>
      </c>
      <c r="M20" s="655" t="e">
        <v>#REF!</v>
      </c>
      <c r="N20" s="655" t="e">
        <v>#REF!</v>
      </c>
      <c r="O20" s="655" t="e">
        <v>#REF!</v>
      </c>
      <c r="P20" s="655" t="e">
        <v>#REF!</v>
      </c>
      <c r="Q20" s="655">
        <v>0</v>
      </c>
      <c r="R20" s="655">
        <v>498</v>
      </c>
      <c r="S20" s="656">
        <v>0.27057788981184461</v>
      </c>
      <c r="T20" s="656">
        <v>0.35350393074413278</v>
      </c>
      <c r="U20" s="656">
        <v>0.23910497752769494</v>
      </c>
      <c r="V20" s="657">
        <v>15.265429163732987</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5"/>
  <sheetViews>
    <sheetView zoomScale="70" zoomScaleNormal="70" workbookViewId="0">
      <pane xSplit="2" ySplit="5" topLeftCell="C6" activePane="bottomRight" state="frozen"/>
      <selection activeCell="B42" sqref="B42"/>
      <selection pane="topRight" activeCell="B42" sqref="B42"/>
      <selection pane="bottomLeft" activeCell="B42" sqref="B42"/>
      <selection pane="bottomRight" activeCell="C6" sqref="C6:E45"/>
    </sheetView>
  </sheetViews>
  <sheetFormatPr defaultRowHeight="14.4"/>
  <cols>
    <col min="1" max="1" width="11.44140625" bestFit="1" customWidth="1"/>
    <col min="2" max="2" width="66.6640625" customWidth="1"/>
    <col min="3" max="8" width="17.77734375" customWidth="1"/>
  </cols>
  <sheetData>
    <row r="1" spans="1:8" s="10" customFormat="1">
      <c r="A1" s="498" t="s">
        <v>680</v>
      </c>
      <c r="B1" s="496" t="str">
        <f>'Info '!C2</f>
        <v>Crystal</v>
      </c>
      <c r="C1" s="8"/>
      <c r="D1" s="9"/>
      <c r="E1" s="9"/>
      <c r="F1" s="9"/>
      <c r="G1" s="9"/>
    </row>
    <row r="2" spans="1:8" s="10" customFormat="1" ht="13.8">
      <c r="A2" s="66" t="s">
        <v>31</v>
      </c>
      <c r="B2" s="497">
        <f>'1. key ratios '!B2</f>
        <v>46112</v>
      </c>
      <c r="C2" s="8"/>
      <c r="D2" s="9"/>
      <c r="E2" s="9"/>
      <c r="F2" s="9"/>
      <c r="G2" s="9"/>
    </row>
    <row r="4" spans="1:8">
      <c r="A4" s="714" t="s">
        <v>7</v>
      </c>
      <c r="B4" s="716" t="s">
        <v>552</v>
      </c>
      <c r="C4" s="709" t="s">
        <v>489</v>
      </c>
      <c r="D4" s="709"/>
      <c r="E4" s="709"/>
      <c r="F4" s="709" t="s">
        <v>490</v>
      </c>
      <c r="G4" s="709"/>
      <c r="H4" s="710"/>
    </row>
    <row r="5" spans="1:8" ht="15.45" customHeight="1">
      <c r="A5" s="715"/>
      <c r="B5" s="717"/>
      <c r="C5" s="220" t="s">
        <v>32</v>
      </c>
      <c r="D5" s="220" t="s">
        <v>33</v>
      </c>
      <c r="E5" s="220" t="s">
        <v>34</v>
      </c>
      <c r="F5" s="220" t="s">
        <v>32</v>
      </c>
      <c r="G5" s="220" t="s">
        <v>33</v>
      </c>
      <c r="H5" s="220" t="s">
        <v>34</v>
      </c>
    </row>
    <row r="6" spans="1:8">
      <c r="A6" s="221">
        <v>1</v>
      </c>
      <c r="B6" s="448" t="s">
        <v>553</v>
      </c>
      <c r="C6" s="589">
        <f>SUM(C7:C12)</f>
        <v>43442055.616099983</v>
      </c>
      <c r="D6" s="589">
        <f>SUM(D7:D12)</f>
        <v>65633.763899999991</v>
      </c>
      <c r="E6" s="365">
        <f>C6+D6</f>
        <v>43507689.37999998</v>
      </c>
      <c r="F6" s="363">
        <f>SUM(F7:F12)</f>
        <v>0</v>
      </c>
      <c r="G6" s="363">
        <f>SUM(G7:G12)</f>
        <v>0</v>
      </c>
      <c r="H6" s="365">
        <f>F6+G6</f>
        <v>0</v>
      </c>
    </row>
    <row r="7" spans="1:8">
      <c r="A7" s="221">
        <v>1.1000000000000001</v>
      </c>
      <c r="B7" s="449" t="s">
        <v>496</v>
      </c>
      <c r="C7" s="589">
        <v>0</v>
      </c>
      <c r="D7" s="589"/>
      <c r="E7" s="365">
        <f t="shared" ref="E7:E45" si="0">C7+D7</f>
        <v>0</v>
      </c>
      <c r="F7" s="363"/>
      <c r="G7" s="363"/>
      <c r="H7" s="365">
        <f t="shared" ref="H7:H44" si="1">F7+G7</f>
        <v>0</v>
      </c>
    </row>
    <row r="8" spans="1:8">
      <c r="A8" s="221">
        <v>1.2</v>
      </c>
      <c r="B8" s="449" t="s">
        <v>498</v>
      </c>
      <c r="C8" s="589">
        <v>0</v>
      </c>
      <c r="D8" s="589"/>
      <c r="E8" s="365">
        <f t="shared" si="0"/>
        <v>0</v>
      </c>
      <c r="F8" s="363"/>
      <c r="G8" s="363"/>
      <c r="H8" s="365">
        <f t="shared" si="1"/>
        <v>0</v>
      </c>
    </row>
    <row r="9" spans="1:8" ht="21.45" customHeight="1">
      <c r="A9" s="221">
        <v>1.3</v>
      </c>
      <c r="B9" s="449" t="s">
        <v>554</v>
      </c>
      <c r="C9" s="589">
        <v>0</v>
      </c>
      <c r="D9" s="589"/>
      <c r="E9" s="365">
        <f t="shared" si="0"/>
        <v>0</v>
      </c>
      <c r="F9" s="363"/>
      <c r="G9" s="363"/>
      <c r="H9" s="365">
        <f t="shared" si="1"/>
        <v>0</v>
      </c>
    </row>
    <row r="10" spans="1:8">
      <c r="A10" s="221">
        <v>1.4</v>
      </c>
      <c r="B10" s="449" t="s">
        <v>500</v>
      </c>
      <c r="C10" s="589">
        <v>0</v>
      </c>
      <c r="D10" s="589"/>
      <c r="E10" s="365">
        <f t="shared" si="0"/>
        <v>0</v>
      </c>
      <c r="F10" s="363"/>
      <c r="G10" s="363"/>
      <c r="H10" s="365">
        <f t="shared" si="1"/>
        <v>0</v>
      </c>
    </row>
    <row r="11" spans="1:8">
      <c r="A11" s="221">
        <v>1.5</v>
      </c>
      <c r="B11" s="449" t="s">
        <v>504</v>
      </c>
      <c r="C11" s="589">
        <v>43442055.616099983</v>
      </c>
      <c r="D11" s="589">
        <v>65633.763899999991</v>
      </c>
      <c r="E11" s="365">
        <f t="shared" si="0"/>
        <v>43507689.37999998</v>
      </c>
      <c r="F11" s="363"/>
      <c r="G11" s="363"/>
      <c r="H11" s="365">
        <f t="shared" si="1"/>
        <v>0</v>
      </c>
    </row>
    <row r="12" spans="1:8">
      <c r="A12" s="221">
        <v>1.6</v>
      </c>
      <c r="B12" s="449" t="s">
        <v>388</v>
      </c>
      <c r="C12" s="589">
        <v>0</v>
      </c>
      <c r="D12" s="589"/>
      <c r="E12" s="365">
        <f t="shared" si="0"/>
        <v>0</v>
      </c>
      <c r="F12" s="363"/>
      <c r="G12" s="363"/>
      <c r="H12" s="365">
        <f t="shared" si="1"/>
        <v>0</v>
      </c>
    </row>
    <row r="13" spans="1:8">
      <c r="A13" s="221">
        <v>2</v>
      </c>
      <c r="B13" s="448" t="s">
        <v>555</v>
      </c>
      <c r="C13" s="589">
        <f>SUM(C14:C17)</f>
        <v>-7415718.8324000072</v>
      </c>
      <c r="D13" s="589">
        <f>SUM(D14:D17)</f>
        <v>-5677105.9875999996</v>
      </c>
      <c r="E13" s="365">
        <f t="shared" si="0"/>
        <v>-13092824.820000008</v>
      </c>
      <c r="F13" s="363">
        <f>SUM(F14:F17)</f>
        <v>0</v>
      </c>
      <c r="G13" s="363">
        <f>SUM(G14:G17)</f>
        <v>0</v>
      </c>
      <c r="H13" s="365">
        <f t="shared" si="1"/>
        <v>0</v>
      </c>
    </row>
    <row r="14" spans="1:8">
      <c r="A14" s="221">
        <v>2.1</v>
      </c>
      <c r="B14" s="449" t="s">
        <v>556</v>
      </c>
      <c r="C14" s="589">
        <v>0</v>
      </c>
      <c r="D14" s="589"/>
      <c r="E14" s="365">
        <f t="shared" si="0"/>
        <v>0</v>
      </c>
      <c r="F14" s="363"/>
      <c r="G14" s="363"/>
      <c r="H14" s="365">
        <f t="shared" si="1"/>
        <v>0</v>
      </c>
    </row>
    <row r="15" spans="1:8" ht="24.45" customHeight="1">
      <c r="A15" s="221">
        <v>2.2000000000000002</v>
      </c>
      <c r="B15" s="449" t="s">
        <v>557</v>
      </c>
      <c r="C15" s="589">
        <v>0</v>
      </c>
      <c r="D15" s="589"/>
      <c r="E15" s="365">
        <f t="shared" si="0"/>
        <v>0</v>
      </c>
      <c r="F15" s="363"/>
      <c r="G15" s="363"/>
      <c r="H15" s="365">
        <f t="shared" si="1"/>
        <v>0</v>
      </c>
    </row>
    <row r="16" spans="1:8" ht="20.55" customHeight="1">
      <c r="A16" s="221">
        <v>2.2999999999999998</v>
      </c>
      <c r="B16" s="449" t="s">
        <v>558</v>
      </c>
      <c r="C16" s="589">
        <v>-7288399.7817000067</v>
      </c>
      <c r="D16" s="589">
        <v>-5410612.2083000001</v>
      </c>
      <c r="E16" s="365">
        <f t="shared" si="0"/>
        <v>-12699011.990000006</v>
      </c>
      <c r="F16" s="363"/>
      <c r="G16" s="363"/>
      <c r="H16" s="365">
        <f t="shared" si="1"/>
        <v>0</v>
      </c>
    </row>
    <row r="17" spans="1:8">
      <c r="A17" s="221">
        <v>2.4</v>
      </c>
      <c r="B17" s="449" t="s">
        <v>559</v>
      </c>
      <c r="C17" s="589">
        <v>-127319.05070000014</v>
      </c>
      <c r="D17" s="589">
        <v>-266493.77929999999</v>
      </c>
      <c r="E17" s="365">
        <f t="shared" si="0"/>
        <v>-393812.83000000013</v>
      </c>
      <c r="F17" s="363"/>
      <c r="G17" s="363"/>
      <c r="H17" s="365">
        <f t="shared" si="1"/>
        <v>0</v>
      </c>
    </row>
    <row r="18" spans="1:8">
      <c r="A18" s="221">
        <v>3</v>
      </c>
      <c r="B18" s="448" t="s">
        <v>560</v>
      </c>
      <c r="C18" s="589">
        <v>0</v>
      </c>
      <c r="D18" s="589"/>
      <c r="E18" s="365">
        <f t="shared" si="0"/>
        <v>0</v>
      </c>
      <c r="F18" s="363"/>
      <c r="G18" s="363"/>
      <c r="H18" s="365">
        <f t="shared" si="1"/>
        <v>0</v>
      </c>
    </row>
    <row r="19" spans="1:8">
      <c r="A19" s="221">
        <v>4</v>
      </c>
      <c r="B19" s="448" t="s">
        <v>561</v>
      </c>
      <c r="C19" s="589">
        <v>824947.16980000003</v>
      </c>
      <c r="D19" s="589">
        <v>58958.090200000006</v>
      </c>
      <c r="E19" s="365">
        <f t="shared" si="0"/>
        <v>883905.26</v>
      </c>
      <c r="F19" s="363"/>
      <c r="G19" s="363"/>
      <c r="H19" s="365">
        <f t="shared" si="1"/>
        <v>0</v>
      </c>
    </row>
    <row r="20" spans="1:8">
      <c r="A20" s="221">
        <v>5</v>
      </c>
      <c r="B20" s="448" t="s">
        <v>562</v>
      </c>
      <c r="C20" s="589">
        <v>9002.4260999999969</v>
      </c>
      <c r="D20" s="589">
        <v>1015.3638999999998</v>
      </c>
      <c r="E20" s="365">
        <f t="shared" si="0"/>
        <v>10017.789999999997</v>
      </c>
      <c r="F20" s="363"/>
      <c r="G20" s="363"/>
      <c r="H20" s="365">
        <f t="shared" si="1"/>
        <v>0</v>
      </c>
    </row>
    <row r="21" spans="1:8" ht="24" customHeight="1">
      <c r="A21" s="221">
        <v>6</v>
      </c>
      <c r="B21" s="448" t="s">
        <v>563</v>
      </c>
      <c r="C21" s="589">
        <v>0</v>
      </c>
      <c r="D21" s="589"/>
      <c r="E21" s="365">
        <f t="shared" si="0"/>
        <v>0</v>
      </c>
      <c r="F21" s="363"/>
      <c r="G21" s="363"/>
      <c r="H21" s="365">
        <f t="shared" si="1"/>
        <v>0</v>
      </c>
    </row>
    <row r="22" spans="1:8" ht="18.45" customHeight="1">
      <c r="A22" s="221">
        <v>7</v>
      </c>
      <c r="B22" s="448" t="s">
        <v>564</v>
      </c>
      <c r="C22" s="589">
        <v>0</v>
      </c>
      <c r="D22" s="589"/>
      <c r="E22" s="365">
        <f t="shared" si="0"/>
        <v>0</v>
      </c>
      <c r="F22" s="363"/>
      <c r="G22" s="363"/>
      <c r="H22" s="365">
        <f t="shared" si="1"/>
        <v>0</v>
      </c>
    </row>
    <row r="23" spans="1:8" ht="25.5" customHeight="1">
      <c r="A23" s="221">
        <v>8</v>
      </c>
      <c r="B23" s="450" t="s">
        <v>565</v>
      </c>
      <c r="C23" s="589">
        <v>0</v>
      </c>
      <c r="D23" s="589"/>
      <c r="E23" s="365">
        <f t="shared" si="0"/>
        <v>0</v>
      </c>
      <c r="F23" s="363"/>
      <c r="G23" s="363"/>
      <c r="H23" s="365">
        <f t="shared" si="1"/>
        <v>0</v>
      </c>
    </row>
    <row r="24" spans="1:8" ht="34.5" customHeight="1">
      <c r="A24" s="221">
        <v>9</v>
      </c>
      <c r="B24" s="450" t="s">
        <v>566</v>
      </c>
      <c r="C24" s="589">
        <v>-3706717.02</v>
      </c>
      <c r="D24" s="589">
        <v>0</v>
      </c>
      <c r="E24" s="365">
        <f t="shared" si="0"/>
        <v>-3706717.02</v>
      </c>
      <c r="F24" s="363"/>
      <c r="G24" s="363"/>
      <c r="H24" s="365">
        <f t="shared" si="1"/>
        <v>0</v>
      </c>
    </row>
    <row r="25" spans="1:8">
      <c r="A25" s="221">
        <v>10</v>
      </c>
      <c r="B25" s="448" t="s">
        <v>567</v>
      </c>
      <c r="C25" s="589">
        <v>638828.2699999992</v>
      </c>
      <c r="D25" s="589">
        <v>0</v>
      </c>
      <c r="E25" s="365">
        <f t="shared" si="0"/>
        <v>638828.2699999992</v>
      </c>
      <c r="F25" s="363"/>
      <c r="G25" s="363"/>
      <c r="H25" s="365">
        <f t="shared" si="1"/>
        <v>0</v>
      </c>
    </row>
    <row r="26" spans="1:8">
      <c r="A26" s="221">
        <v>11</v>
      </c>
      <c r="B26" s="451" t="s">
        <v>568</v>
      </c>
      <c r="C26" s="589">
        <v>-26332.560000000001</v>
      </c>
      <c r="D26" s="589">
        <v>0</v>
      </c>
      <c r="E26" s="365">
        <f t="shared" si="0"/>
        <v>-26332.560000000001</v>
      </c>
      <c r="F26" s="363"/>
      <c r="G26" s="363"/>
      <c r="H26" s="365">
        <f t="shared" si="1"/>
        <v>0</v>
      </c>
    </row>
    <row r="27" spans="1:8">
      <c r="A27" s="221">
        <v>12</v>
      </c>
      <c r="B27" s="448" t="s">
        <v>569</v>
      </c>
      <c r="C27" s="589">
        <v>8400975.5</v>
      </c>
      <c r="D27" s="589">
        <v>0</v>
      </c>
      <c r="E27" s="365">
        <f t="shared" si="0"/>
        <v>8400975.5</v>
      </c>
      <c r="F27" s="363"/>
      <c r="G27" s="363"/>
      <c r="H27" s="365">
        <f t="shared" si="1"/>
        <v>0</v>
      </c>
    </row>
    <row r="28" spans="1:8">
      <c r="A28" s="221">
        <v>13</v>
      </c>
      <c r="B28" s="448" t="s">
        <v>570</v>
      </c>
      <c r="C28" s="589">
        <v>-8546677.7100000009</v>
      </c>
      <c r="D28" s="589">
        <v>0</v>
      </c>
      <c r="E28" s="365">
        <f t="shared" si="0"/>
        <v>-8546677.7100000009</v>
      </c>
      <c r="F28" s="363"/>
      <c r="G28" s="363"/>
      <c r="H28" s="365">
        <f t="shared" si="1"/>
        <v>0</v>
      </c>
    </row>
    <row r="29" spans="1:8">
      <c r="A29" s="221">
        <v>14</v>
      </c>
      <c r="B29" s="448" t="s">
        <v>571</v>
      </c>
      <c r="C29" s="589">
        <f>SUM(C30:C31)</f>
        <v>-12748137.834700001</v>
      </c>
      <c r="D29" s="589">
        <f>SUM(D30:D31)</f>
        <v>-273686.02530000004</v>
      </c>
      <c r="E29" s="365">
        <f t="shared" si="0"/>
        <v>-13021823.860000001</v>
      </c>
      <c r="F29" s="363">
        <f>SUM(F30:F31)</f>
        <v>0</v>
      </c>
      <c r="G29" s="363">
        <f>SUM(G30:G31)</f>
        <v>0</v>
      </c>
      <c r="H29" s="365">
        <f t="shared" si="1"/>
        <v>0</v>
      </c>
    </row>
    <row r="30" spans="1:8">
      <c r="A30" s="221">
        <v>14.1</v>
      </c>
      <c r="B30" s="452" t="s">
        <v>572</v>
      </c>
      <c r="C30" s="589">
        <v>-9793301.2800000012</v>
      </c>
      <c r="D30" s="589">
        <v>0</v>
      </c>
      <c r="E30" s="365">
        <f t="shared" si="0"/>
        <v>-9793301.2800000012</v>
      </c>
      <c r="F30" s="363"/>
      <c r="G30" s="363"/>
      <c r="H30" s="365">
        <f t="shared" si="1"/>
        <v>0</v>
      </c>
    </row>
    <row r="31" spans="1:8">
      <c r="A31" s="221">
        <v>14.2</v>
      </c>
      <c r="B31" s="452" t="s">
        <v>573</v>
      </c>
      <c r="C31" s="589">
        <v>-2954836.5546999997</v>
      </c>
      <c r="D31" s="589">
        <v>-273686.02530000004</v>
      </c>
      <c r="E31" s="365">
        <f t="shared" si="0"/>
        <v>-3228522.5799999996</v>
      </c>
      <c r="F31" s="363"/>
      <c r="G31" s="363"/>
      <c r="H31" s="365">
        <f t="shared" si="1"/>
        <v>0</v>
      </c>
    </row>
    <row r="32" spans="1:8">
      <c r="A32" s="221">
        <v>15</v>
      </c>
      <c r="B32" s="448" t="s">
        <v>574</v>
      </c>
      <c r="C32" s="589">
        <v>-2168576.7200000002</v>
      </c>
      <c r="D32" s="589">
        <v>0</v>
      </c>
      <c r="E32" s="365">
        <f t="shared" si="0"/>
        <v>-2168576.7200000002</v>
      </c>
      <c r="F32" s="363"/>
      <c r="G32" s="363"/>
      <c r="H32" s="365">
        <f t="shared" si="1"/>
        <v>0</v>
      </c>
    </row>
    <row r="33" spans="1:8" ht="22.5" customHeight="1">
      <c r="A33" s="221">
        <v>16</v>
      </c>
      <c r="B33" s="453" t="s">
        <v>575</v>
      </c>
      <c r="C33" s="589">
        <v>0</v>
      </c>
      <c r="D33" s="589"/>
      <c r="E33" s="365">
        <f t="shared" si="0"/>
        <v>0</v>
      </c>
      <c r="F33" s="363"/>
      <c r="G33" s="363"/>
      <c r="H33" s="365">
        <f t="shared" si="1"/>
        <v>0</v>
      </c>
    </row>
    <row r="34" spans="1:8">
      <c r="A34" s="221">
        <v>17</v>
      </c>
      <c r="B34" s="448" t="s">
        <v>576</v>
      </c>
      <c r="C34" s="589">
        <f>SUM(C35:C36)</f>
        <v>0</v>
      </c>
      <c r="D34" s="589">
        <f>SUM(D35:D36)</f>
        <v>0</v>
      </c>
      <c r="E34" s="365">
        <f t="shared" si="0"/>
        <v>0</v>
      </c>
      <c r="F34" s="363">
        <f>SUM(F35:F36)</f>
        <v>0</v>
      </c>
      <c r="G34" s="363">
        <f>SUM(G35:G36)</f>
        <v>0</v>
      </c>
      <c r="H34" s="365">
        <f t="shared" si="1"/>
        <v>0</v>
      </c>
    </row>
    <row r="35" spans="1:8">
      <c r="A35" s="221">
        <v>17.100000000000001</v>
      </c>
      <c r="B35" s="452" t="s">
        <v>577</v>
      </c>
      <c r="C35" s="589">
        <v>0</v>
      </c>
      <c r="D35" s="589"/>
      <c r="E35" s="365">
        <f t="shared" si="0"/>
        <v>0</v>
      </c>
      <c r="F35" s="363"/>
      <c r="G35" s="363"/>
      <c r="H35" s="365">
        <f t="shared" si="1"/>
        <v>0</v>
      </c>
    </row>
    <row r="36" spans="1:8">
      <c r="A36" s="221">
        <v>17.2</v>
      </c>
      <c r="B36" s="452" t="s">
        <v>578</v>
      </c>
      <c r="C36" s="589">
        <v>0</v>
      </c>
      <c r="D36" s="589"/>
      <c r="E36" s="365">
        <f t="shared" si="0"/>
        <v>0</v>
      </c>
      <c r="F36" s="363"/>
      <c r="G36" s="363"/>
      <c r="H36" s="365">
        <f t="shared" si="1"/>
        <v>0</v>
      </c>
    </row>
    <row r="37" spans="1:8" ht="41.55" customHeight="1">
      <c r="A37" s="221">
        <v>18</v>
      </c>
      <c r="B37" s="454" t="s">
        <v>579</v>
      </c>
      <c r="C37" s="589">
        <f>SUM(C38:C39)</f>
        <v>-6244572.6600000029</v>
      </c>
      <c r="D37" s="589">
        <f>SUM(D38:D39)</f>
        <v>0</v>
      </c>
      <c r="E37" s="365">
        <f t="shared" si="0"/>
        <v>-6244572.6600000029</v>
      </c>
      <c r="F37" s="363">
        <f>SUM(F38:F39)</f>
        <v>0</v>
      </c>
      <c r="G37" s="363">
        <f>SUM(G38:G39)</f>
        <v>0</v>
      </c>
      <c r="H37" s="365">
        <f t="shared" si="1"/>
        <v>0</v>
      </c>
    </row>
    <row r="38" spans="1:8">
      <c r="A38" s="221">
        <v>18.100000000000001</v>
      </c>
      <c r="B38" s="455" t="s">
        <v>580</v>
      </c>
      <c r="C38" s="589">
        <v>0</v>
      </c>
      <c r="D38" s="589"/>
      <c r="E38" s="365">
        <f t="shared" si="0"/>
        <v>0</v>
      </c>
      <c r="F38" s="363"/>
      <c r="G38" s="363"/>
      <c r="H38" s="365">
        <f t="shared" si="1"/>
        <v>0</v>
      </c>
    </row>
    <row r="39" spans="1:8">
      <c r="A39" s="221">
        <v>18.2</v>
      </c>
      <c r="B39" s="455" t="s">
        <v>581</v>
      </c>
      <c r="C39" s="589">
        <v>-6244572.6600000029</v>
      </c>
      <c r="D39" s="589">
        <v>0</v>
      </c>
      <c r="E39" s="365">
        <f t="shared" si="0"/>
        <v>-6244572.6600000029</v>
      </c>
      <c r="F39" s="363"/>
      <c r="G39" s="363"/>
      <c r="H39" s="365">
        <f t="shared" si="1"/>
        <v>0</v>
      </c>
    </row>
    <row r="40" spans="1:8" ht="24.45" customHeight="1">
      <c r="A40" s="221">
        <v>19</v>
      </c>
      <c r="B40" s="454" t="s">
        <v>582</v>
      </c>
      <c r="C40" s="589">
        <v>0</v>
      </c>
      <c r="D40" s="589"/>
      <c r="E40" s="365">
        <f t="shared" si="0"/>
        <v>0</v>
      </c>
      <c r="F40" s="363"/>
      <c r="G40" s="363"/>
      <c r="H40" s="365">
        <f t="shared" si="1"/>
        <v>0</v>
      </c>
    </row>
    <row r="41" spans="1:8" ht="17.55" customHeight="1">
      <c r="A41" s="221">
        <v>20</v>
      </c>
      <c r="B41" s="454" t="s">
        <v>583</v>
      </c>
      <c r="C41" s="589">
        <v>-522543.43000000005</v>
      </c>
      <c r="D41" s="589">
        <v>0</v>
      </c>
      <c r="E41" s="365">
        <f t="shared" si="0"/>
        <v>-522543.43000000005</v>
      </c>
      <c r="F41" s="363"/>
      <c r="G41" s="363"/>
      <c r="H41" s="365">
        <f t="shared" si="1"/>
        <v>0</v>
      </c>
    </row>
    <row r="42" spans="1:8" ht="26.55" customHeight="1">
      <c r="A42" s="221">
        <v>21</v>
      </c>
      <c r="B42" s="454" t="s">
        <v>584</v>
      </c>
      <c r="C42" s="589">
        <v>0</v>
      </c>
      <c r="D42" s="589"/>
      <c r="E42" s="365">
        <f t="shared" si="0"/>
        <v>0</v>
      </c>
      <c r="F42" s="363"/>
      <c r="G42" s="363"/>
      <c r="H42" s="365">
        <f t="shared" si="1"/>
        <v>0</v>
      </c>
    </row>
    <row r="43" spans="1:8">
      <c r="A43" s="221">
        <v>22</v>
      </c>
      <c r="B43" s="456" t="s">
        <v>585</v>
      </c>
      <c r="C43" s="589">
        <f>SUM(C6,C13,C18,C19,C20,C21,C22,C23,C24,C25,C26,C27,C28,C29,C32,C33,C34,C37,C40,C41,C42)</f>
        <v>11936532.214899965</v>
      </c>
      <c r="D43" s="589">
        <f>SUM(D6,D13,D18,D19,D20,D21,D22,D23,D24,D25,D26,D27,D28,D29,D32,D33,D34,D37,D40,D41,D42)</f>
        <v>-5825184.7948999992</v>
      </c>
      <c r="E43" s="365">
        <f t="shared" si="0"/>
        <v>6111347.4199999655</v>
      </c>
      <c r="F43" s="363">
        <f>SUM(F6,F13,F18,F19,F20,F21,F22,F23,F24,F25,F26,F27,F28,F29,F32,F33,F34,F37,F40,F41,F42)</f>
        <v>0</v>
      </c>
      <c r="G43" s="363">
        <f>SUM(G6,G13,G18,G19,G20,G21,G22,G23,G24,G25,G26,G27,G28,G29,G32,G33,G34,G37,G40,G41,G42)</f>
        <v>0</v>
      </c>
      <c r="H43" s="365">
        <f t="shared" si="1"/>
        <v>0</v>
      </c>
    </row>
    <row r="44" spans="1:8">
      <c r="A44" s="221">
        <v>23</v>
      </c>
      <c r="B44" s="456" t="s">
        <v>586</v>
      </c>
      <c r="C44" s="589">
        <v>-1222269.48</v>
      </c>
      <c r="D44" s="589">
        <v>0</v>
      </c>
      <c r="E44" s="365">
        <f t="shared" si="0"/>
        <v>-1222269.48</v>
      </c>
      <c r="F44" s="363"/>
      <c r="G44" s="363"/>
      <c r="H44" s="365">
        <f t="shared" si="1"/>
        <v>0</v>
      </c>
    </row>
    <row r="45" spans="1:8">
      <c r="A45" s="221">
        <v>24</v>
      </c>
      <c r="B45" s="457" t="s">
        <v>587</v>
      </c>
      <c r="C45" s="589">
        <f>C43+C44</f>
        <v>10714262.734899964</v>
      </c>
      <c r="D45" s="589">
        <f>D43+D44</f>
        <v>-5825184.7948999992</v>
      </c>
      <c r="E45" s="366">
        <f t="shared" si="0"/>
        <v>4889077.939999965</v>
      </c>
      <c r="F45" s="364">
        <f>F43+F44</f>
        <v>0</v>
      </c>
      <c r="G45" s="364">
        <f>G43+G44</f>
        <v>0</v>
      </c>
      <c r="H45" s="365">
        <f>F45+G45</f>
        <v>0</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zoomScale="70" zoomScaleNormal="70" workbookViewId="0">
      <pane xSplit="2" ySplit="5" topLeftCell="C6" activePane="bottomRight" state="frozen"/>
      <selection activeCell="B42" sqref="B42"/>
      <selection pane="topRight" activeCell="B42" sqref="B42"/>
      <selection pane="bottomLeft" activeCell="B42" sqref="B42"/>
      <selection pane="bottomRight" activeCell="A3" sqref="A3"/>
    </sheetView>
  </sheetViews>
  <sheetFormatPr defaultColWidth="8.77734375" defaultRowHeight="13.8"/>
  <cols>
    <col min="1" max="1" width="11.44140625" style="239" bestFit="1" customWidth="1"/>
    <col min="2" max="2" width="87.6640625" style="235" bestFit="1" customWidth="1"/>
    <col min="3" max="8" width="15.44140625" style="235" customWidth="1"/>
    <col min="9" max="16384" width="8.77734375" style="235"/>
  </cols>
  <sheetData>
    <row r="1" spans="1:8">
      <c r="A1" s="498" t="s">
        <v>680</v>
      </c>
      <c r="B1" s="499" t="str">
        <f>'Info '!C2</f>
        <v>Crystal</v>
      </c>
      <c r="C1" s="234"/>
    </row>
    <row r="2" spans="1:8">
      <c r="A2" s="498" t="s">
        <v>31</v>
      </c>
      <c r="B2" s="500">
        <f>'1. key ratios '!B2</f>
        <v>46112</v>
      </c>
      <c r="C2" s="234"/>
    </row>
    <row r="3" spans="1:8" ht="14.4" thickBot="1">
      <c r="A3" s="235"/>
    </row>
    <row r="4" spans="1:8">
      <c r="A4" s="718" t="s">
        <v>7</v>
      </c>
      <c r="B4" s="719" t="s">
        <v>87</v>
      </c>
      <c r="C4" s="720" t="s">
        <v>489</v>
      </c>
      <c r="D4" s="720"/>
      <c r="E4" s="720"/>
      <c r="F4" s="720" t="s">
        <v>490</v>
      </c>
      <c r="G4" s="720"/>
      <c r="H4" s="721"/>
    </row>
    <row r="5" spans="1:8">
      <c r="A5" s="718"/>
      <c r="B5" s="719"/>
      <c r="C5" s="220" t="s">
        <v>32</v>
      </c>
      <c r="D5" s="220" t="s">
        <v>33</v>
      </c>
      <c r="E5" s="220" t="s">
        <v>34</v>
      </c>
      <c r="F5" s="220" t="s">
        <v>32</v>
      </c>
      <c r="G5" s="220" t="s">
        <v>33</v>
      </c>
      <c r="H5" s="220" t="s">
        <v>34</v>
      </c>
    </row>
    <row r="6" spans="1:8">
      <c r="A6" s="228">
        <v>1</v>
      </c>
      <c r="B6" s="223" t="s">
        <v>588</v>
      </c>
      <c r="C6" s="591">
        <v>0</v>
      </c>
      <c r="D6" s="591">
        <v>0</v>
      </c>
      <c r="E6" s="548">
        <f t="shared" ref="E6:E43" si="0">C6+D6</f>
        <v>0</v>
      </c>
      <c r="F6" s="547"/>
      <c r="G6" s="547"/>
      <c r="H6" s="549">
        <f t="shared" ref="H6:H43" si="1">F6+G6</f>
        <v>0</v>
      </c>
    </row>
    <row r="7" spans="1:8">
      <c r="A7" s="228">
        <v>2</v>
      </c>
      <c r="B7" s="223" t="s">
        <v>676</v>
      </c>
      <c r="C7" s="591">
        <v>0</v>
      </c>
      <c r="D7" s="591">
        <v>0</v>
      </c>
      <c r="E7" s="548">
        <f t="shared" si="0"/>
        <v>0</v>
      </c>
      <c r="F7" s="547"/>
      <c r="G7" s="547"/>
      <c r="H7" s="549">
        <f t="shared" si="1"/>
        <v>0</v>
      </c>
    </row>
    <row r="8" spans="1:8">
      <c r="A8" s="228">
        <v>3</v>
      </c>
      <c r="B8" s="223" t="s">
        <v>677</v>
      </c>
      <c r="C8" s="591">
        <f>C9+C10</f>
        <v>1042173344.3000001</v>
      </c>
      <c r="D8" s="591">
        <f>D9+D10</f>
        <v>5958922.8251999998</v>
      </c>
      <c r="E8" s="548">
        <f t="shared" si="0"/>
        <v>1048132267.1252</v>
      </c>
      <c r="F8" s="547">
        <f>F9+F10</f>
        <v>0</v>
      </c>
      <c r="G8" s="547">
        <f>G9+G10</f>
        <v>0</v>
      </c>
      <c r="H8" s="549">
        <f t="shared" si="1"/>
        <v>0</v>
      </c>
    </row>
    <row r="9" spans="1:8">
      <c r="A9" s="228">
        <v>3.1</v>
      </c>
      <c r="B9" s="222" t="s">
        <v>164</v>
      </c>
      <c r="C9" s="591">
        <v>1042173344.3000001</v>
      </c>
      <c r="D9" s="591">
        <v>5958922.8251999998</v>
      </c>
      <c r="E9" s="548">
        <f t="shared" si="0"/>
        <v>1048132267.1252</v>
      </c>
      <c r="F9" s="547"/>
      <c r="G9" s="547"/>
      <c r="H9" s="549">
        <f t="shared" si="1"/>
        <v>0</v>
      </c>
    </row>
    <row r="10" spans="1:8">
      <c r="A10" s="228">
        <v>3.2</v>
      </c>
      <c r="B10" s="222" t="s">
        <v>161</v>
      </c>
      <c r="C10" s="591">
        <v>0</v>
      </c>
      <c r="D10" s="591">
        <v>0</v>
      </c>
      <c r="E10" s="548">
        <f t="shared" si="0"/>
        <v>0</v>
      </c>
      <c r="F10" s="547"/>
      <c r="G10" s="547"/>
      <c r="H10" s="549">
        <f t="shared" si="1"/>
        <v>0</v>
      </c>
    </row>
    <row r="11" spans="1:8">
      <c r="A11" s="228">
        <v>4</v>
      </c>
      <c r="B11" s="223" t="s">
        <v>163</v>
      </c>
      <c r="C11" s="591">
        <f>C12+C13</f>
        <v>0</v>
      </c>
      <c r="D11" s="591">
        <f>D12+D13</f>
        <v>0</v>
      </c>
      <c r="E11" s="548">
        <f t="shared" si="0"/>
        <v>0</v>
      </c>
      <c r="F11" s="547">
        <f>F12+F13</f>
        <v>0</v>
      </c>
      <c r="G11" s="547">
        <f>G12+G13</f>
        <v>0</v>
      </c>
      <c r="H11" s="549">
        <f t="shared" si="1"/>
        <v>0</v>
      </c>
    </row>
    <row r="12" spans="1:8">
      <c r="A12" s="228">
        <v>4.0999999999999996</v>
      </c>
      <c r="B12" s="222" t="s">
        <v>678</v>
      </c>
      <c r="C12" s="591">
        <v>0</v>
      </c>
      <c r="D12" s="591">
        <v>0</v>
      </c>
      <c r="E12" s="548">
        <f t="shared" si="0"/>
        <v>0</v>
      </c>
      <c r="F12" s="547"/>
      <c r="G12" s="547"/>
      <c r="H12" s="549">
        <f t="shared" si="1"/>
        <v>0</v>
      </c>
    </row>
    <row r="13" spans="1:8">
      <c r="A13" s="228">
        <v>4.2</v>
      </c>
      <c r="B13" s="222" t="s">
        <v>679</v>
      </c>
      <c r="C13" s="591">
        <v>0</v>
      </c>
      <c r="D13" s="591">
        <v>0</v>
      </c>
      <c r="E13" s="548">
        <f t="shared" si="0"/>
        <v>0</v>
      </c>
      <c r="F13" s="547"/>
      <c r="G13" s="547"/>
      <c r="H13" s="549">
        <f t="shared" si="1"/>
        <v>0</v>
      </c>
    </row>
    <row r="14" spans="1:8">
      <c r="A14" s="228">
        <v>5</v>
      </c>
      <c r="B14" s="223" t="s">
        <v>172</v>
      </c>
      <c r="C14" s="591">
        <f>C15+C16+C17+C23+C24+C25+C26</f>
        <v>887598929.49999988</v>
      </c>
      <c r="D14" s="591">
        <f>D15+D16+D17+D23+D24+D25+D26</f>
        <v>47338763.502300017</v>
      </c>
      <c r="E14" s="548">
        <f t="shared" si="0"/>
        <v>934937693.0022999</v>
      </c>
      <c r="F14" s="547">
        <f>F15+F16+F17+F23+F24+F25+F26</f>
        <v>0</v>
      </c>
      <c r="G14" s="547">
        <f>G15+G16+G17+G23+G24+G25+G26</f>
        <v>0</v>
      </c>
      <c r="H14" s="549">
        <f t="shared" si="1"/>
        <v>0</v>
      </c>
    </row>
    <row r="15" spans="1:8">
      <c r="A15" s="228">
        <v>5.0999999999999996</v>
      </c>
      <c r="B15" s="224" t="s">
        <v>151</v>
      </c>
      <c r="C15" s="591">
        <v>0</v>
      </c>
      <c r="D15" s="591">
        <v>0</v>
      </c>
      <c r="E15" s="548">
        <f t="shared" si="0"/>
        <v>0</v>
      </c>
      <c r="F15" s="547"/>
      <c r="G15" s="547"/>
      <c r="H15" s="549">
        <f t="shared" si="1"/>
        <v>0</v>
      </c>
    </row>
    <row r="16" spans="1:8">
      <c r="A16" s="228">
        <v>5.2</v>
      </c>
      <c r="B16" s="224" t="s">
        <v>150</v>
      </c>
      <c r="C16" s="591">
        <v>24177964.170000002</v>
      </c>
      <c r="D16" s="591">
        <v>75384.70659999999</v>
      </c>
      <c r="E16" s="548">
        <f t="shared" si="0"/>
        <v>24253348.876600001</v>
      </c>
      <c r="F16" s="547"/>
      <c r="G16" s="547"/>
      <c r="H16" s="549">
        <f t="shared" si="1"/>
        <v>0</v>
      </c>
    </row>
    <row r="17" spans="1:8">
      <c r="A17" s="228">
        <v>5.3</v>
      </c>
      <c r="B17" s="224" t="s">
        <v>149</v>
      </c>
      <c r="C17" s="591">
        <f>C18+C19+C20+C21+C22</f>
        <v>696180672.0999999</v>
      </c>
      <c r="D17" s="591">
        <f>D18+D19+D20+D21+D22</f>
        <v>46602586.303900011</v>
      </c>
      <c r="E17" s="548">
        <f t="shared" si="0"/>
        <v>742783258.40389991</v>
      </c>
      <c r="F17" s="547"/>
      <c r="G17" s="547"/>
      <c r="H17" s="549">
        <f t="shared" si="1"/>
        <v>0</v>
      </c>
    </row>
    <row r="18" spans="1:8">
      <c r="A18" s="228" t="s">
        <v>16</v>
      </c>
      <c r="B18" s="225" t="s">
        <v>36</v>
      </c>
      <c r="C18" s="591">
        <v>696180672.0999999</v>
      </c>
      <c r="D18" s="591">
        <v>46602586.303900011</v>
      </c>
      <c r="E18" s="548">
        <f t="shared" si="0"/>
        <v>742783258.40389991</v>
      </c>
      <c r="F18" s="547"/>
      <c r="G18" s="547"/>
      <c r="H18" s="549">
        <f t="shared" si="1"/>
        <v>0</v>
      </c>
    </row>
    <row r="19" spans="1:8">
      <c r="A19" s="228" t="s">
        <v>17</v>
      </c>
      <c r="B19" s="225" t="s">
        <v>37</v>
      </c>
      <c r="C19" s="591">
        <v>0</v>
      </c>
      <c r="D19" s="591">
        <v>0</v>
      </c>
      <c r="E19" s="548">
        <f t="shared" si="0"/>
        <v>0</v>
      </c>
      <c r="F19" s="547"/>
      <c r="G19" s="547"/>
      <c r="H19" s="549">
        <f t="shared" si="1"/>
        <v>0</v>
      </c>
    </row>
    <row r="20" spans="1:8">
      <c r="A20" s="228" t="s">
        <v>18</v>
      </c>
      <c r="B20" s="225" t="s">
        <v>38</v>
      </c>
      <c r="C20" s="591">
        <v>0</v>
      </c>
      <c r="D20" s="591">
        <v>0</v>
      </c>
      <c r="E20" s="548">
        <f t="shared" si="0"/>
        <v>0</v>
      </c>
      <c r="F20" s="547"/>
      <c r="G20" s="547"/>
      <c r="H20" s="549">
        <f t="shared" si="1"/>
        <v>0</v>
      </c>
    </row>
    <row r="21" spans="1:8">
      <c r="A21" s="228" t="s">
        <v>19</v>
      </c>
      <c r="B21" s="225" t="s">
        <v>39</v>
      </c>
      <c r="C21" s="591">
        <v>0</v>
      </c>
      <c r="D21" s="591">
        <v>0</v>
      </c>
      <c r="E21" s="548">
        <f t="shared" si="0"/>
        <v>0</v>
      </c>
      <c r="F21" s="547"/>
      <c r="G21" s="547"/>
      <c r="H21" s="549">
        <f t="shared" si="1"/>
        <v>0</v>
      </c>
    </row>
    <row r="22" spans="1:8">
      <c r="A22" s="228" t="s">
        <v>20</v>
      </c>
      <c r="B22" s="225" t="s">
        <v>40</v>
      </c>
      <c r="C22" s="591">
        <v>0</v>
      </c>
      <c r="D22" s="591">
        <v>0</v>
      </c>
      <c r="E22" s="548">
        <f t="shared" si="0"/>
        <v>0</v>
      </c>
      <c r="F22" s="547"/>
      <c r="G22" s="547"/>
      <c r="H22" s="549">
        <f t="shared" si="1"/>
        <v>0</v>
      </c>
    </row>
    <row r="23" spans="1:8">
      <c r="A23" s="228">
        <v>5.4</v>
      </c>
      <c r="B23" s="224" t="s">
        <v>152</v>
      </c>
      <c r="C23" s="591">
        <v>166793234.03</v>
      </c>
      <c r="D23" s="591">
        <v>660792.49180000019</v>
      </c>
      <c r="E23" s="548">
        <f t="shared" si="0"/>
        <v>167454026.52180001</v>
      </c>
      <c r="F23" s="547"/>
      <c r="G23" s="547"/>
      <c r="H23" s="549">
        <f t="shared" si="1"/>
        <v>0</v>
      </c>
    </row>
    <row r="24" spans="1:8">
      <c r="A24" s="228">
        <v>5.5</v>
      </c>
      <c r="B24" s="224" t="s">
        <v>153</v>
      </c>
      <c r="C24" s="591"/>
      <c r="D24" s="591"/>
      <c r="E24" s="548">
        <f t="shared" si="0"/>
        <v>0</v>
      </c>
      <c r="F24" s="547"/>
      <c r="G24" s="547"/>
      <c r="H24" s="549">
        <f t="shared" si="1"/>
        <v>0</v>
      </c>
    </row>
    <row r="25" spans="1:8">
      <c r="A25" s="228">
        <v>5.6</v>
      </c>
      <c r="B25" s="224" t="s">
        <v>154</v>
      </c>
      <c r="C25" s="591"/>
      <c r="D25" s="591"/>
      <c r="E25" s="548">
        <f t="shared" si="0"/>
        <v>0</v>
      </c>
      <c r="F25" s="547"/>
      <c r="G25" s="547"/>
      <c r="H25" s="549">
        <f t="shared" si="1"/>
        <v>0</v>
      </c>
    </row>
    <row r="26" spans="1:8">
      <c r="A26" s="228">
        <v>5.7</v>
      </c>
      <c r="B26" s="224" t="s">
        <v>40</v>
      </c>
      <c r="C26" s="591">
        <v>447059.20000000001</v>
      </c>
      <c r="D26" s="591">
        <v>0</v>
      </c>
      <c r="E26" s="548">
        <f t="shared" si="0"/>
        <v>447059.20000000001</v>
      </c>
      <c r="F26" s="547"/>
      <c r="G26" s="547"/>
      <c r="H26" s="549">
        <f t="shared" si="1"/>
        <v>0</v>
      </c>
    </row>
    <row r="27" spans="1:8">
      <c r="A27" s="228">
        <v>6</v>
      </c>
      <c r="B27" s="241" t="s">
        <v>589</v>
      </c>
      <c r="C27" s="591">
        <v>2390101.7899999949</v>
      </c>
      <c r="D27" s="591">
        <v>42665.128300000011</v>
      </c>
      <c r="E27" s="548">
        <f t="shared" si="0"/>
        <v>2432766.9182999949</v>
      </c>
      <c r="F27" s="547"/>
      <c r="G27" s="547"/>
      <c r="H27" s="549">
        <f t="shared" si="1"/>
        <v>0</v>
      </c>
    </row>
    <row r="28" spans="1:8">
      <c r="A28" s="228">
        <v>7</v>
      </c>
      <c r="B28" s="241" t="s">
        <v>590</v>
      </c>
      <c r="C28" s="591">
        <v>0</v>
      </c>
      <c r="D28" s="591">
        <v>0</v>
      </c>
      <c r="E28" s="548">
        <f t="shared" si="0"/>
        <v>0</v>
      </c>
      <c r="F28" s="547"/>
      <c r="G28" s="547"/>
      <c r="H28" s="549">
        <f t="shared" si="1"/>
        <v>0</v>
      </c>
    </row>
    <row r="29" spans="1:8">
      <c r="A29" s="228">
        <v>8</v>
      </c>
      <c r="B29" s="241" t="s">
        <v>162</v>
      </c>
      <c r="C29" s="591">
        <v>0</v>
      </c>
      <c r="D29" s="591">
        <v>0</v>
      </c>
      <c r="E29" s="548">
        <f t="shared" si="0"/>
        <v>0</v>
      </c>
      <c r="F29" s="547"/>
      <c r="G29" s="547"/>
      <c r="H29" s="549">
        <f t="shared" si="1"/>
        <v>0</v>
      </c>
    </row>
    <row r="30" spans="1:8">
      <c r="A30" s="228">
        <v>9</v>
      </c>
      <c r="B30" s="242" t="s">
        <v>177</v>
      </c>
      <c r="C30" s="591">
        <f>C31+C32+C33+C34+C35+C36+C37</f>
        <v>-262150151.11000001</v>
      </c>
      <c r="D30" s="591">
        <f>D31+D32+D33+D34+D35+D36+D37</f>
        <v>242863513.76729998</v>
      </c>
      <c r="E30" s="548">
        <f t="shared" si="0"/>
        <v>-19286637.342700034</v>
      </c>
      <c r="F30" s="547">
        <f>F31+F32+F33+F34+F35+F36+F37</f>
        <v>0</v>
      </c>
      <c r="G30" s="547">
        <f>G31+G32+G33+G34+G35+G36+G37</f>
        <v>0</v>
      </c>
      <c r="H30" s="549">
        <f t="shared" si="1"/>
        <v>0</v>
      </c>
    </row>
    <row r="31" spans="1:8">
      <c r="A31" s="228">
        <v>9.1</v>
      </c>
      <c r="B31" s="226" t="s">
        <v>168</v>
      </c>
      <c r="C31" s="591">
        <v>12670826.74</v>
      </c>
      <c r="D31" s="591">
        <v>257567551.32699999</v>
      </c>
      <c r="E31" s="548">
        <f t="shared" si="0"/>
        <v>270238378.06699997</v>
      </c>
      <c r="F31" s="547"/>
      <c r="G31" s="547"/>
      <c r="H31" s="549">
        <f t="shared" si="1"/>
        <v>0</v>
      </c>
    </row>
    <row r="32" spans="1:8">
      <c r="A32" s="228">
        <v>9.1999999999999993</v>
      </c>
      <c r="B32" s="226" t="s">
        <v>169</v>
      </c>
      <c r="C32" s="591">
        <v>-274820977.85000002</v>
      </c>
      <c r="D32" s="591">
        <v>-14704037.559699999</v>
      </c>
      <c r="E32" s="548">
        <f t="shared" si="0"/>
        <v>-289525015.40970004</v>
      </c>
      <c r="F32" s="547"/>
      <c r="G32" s="547"/>
      <c r="H32" s="549">
        <f t="shared" si="1"/>
        <v>0</v>
      </c>
    </row>
    <row r="33" spans="1:8">
      <c r="A33" s="228">
        <v>9.3000000000000007</v>
      </c>
      <c r="B33" s="226" t="s">
        <v>165</v>
      </c>
      <c r="C33" s="591">
        <v>0</v>
      </c>
      <c r="D33" s="591">
        <v>0</v>
      </c>
      <c r="E33" s="548">
        <f t="shared" si="0"/>
        <v>0</v>
      </c>
      <c r="F33" s="547"/>
      <c r="G33" s="547"/>
      <c r="H33" s="549">
        <f t="shared" si="1"/>
        <v>0</v>
      </c>
    </row>
    <row r="34" spans="1:8">
      <c r="A34" s="228">
        <v>9.4</v>
      </c>
      <c r="B34" s="226" t="s">
        <v>166</v>
      </c>
      <c r="C34" s="591">
        <v>0</v>
      </c>
      <c r="D34" s="591">
        <v>0</v>
      </c>
      <c r="E34" s="548">
        <f t="shared" si="0"/>
        <v>0</v>
      </c>
      <c r="F34" s="547"/>
      <c r="G34" s="547"/>
      <c r="H34" s="549">
        <f t="shared" si="1"/>
        <v>0</v>
      </c>
    </row>
    <row r="35" spans="1:8">
      <c r="A35" s="228">
        <v>9.5</v>
      </c>
      <c r="B35" s="226" t="s">
        <v>167</v>
      </c>
      <c r="C35" s="591">
        <v>0</v>
      </c>
      <c r="D35" s="591">
        <v>0</v>
      </c>
      <c r="E35" s="548">
        <f t="shared" si="0"/>
        <v>0</v>
      </c>
      <c r="F35" s="547"/>
      <c r="G35" s="547"/>
      <c r="H35" s="549">
        <f t="shared" si="1"/>
        <v>0</v>
      </c>
    </row>
    <row r="36" spans="1:8">
      <c r="A36" s="228">
        <v>9.6</v>
      </c>
      <c r="B36" s="226" t="s">
        <v>170</v>
      </c>
      <c r="C36" s="591">
        <v>0</v>
      </c>
      <c r="D36" s="591">
        <v>0</v>
      </c>
      <c r="E36" s="548">
        <f t="shared" si="0"/>
        <v>0</v>
      </c>
      <c r="F36" s="547"/>
      <c r="G36" s="547"/>
      <c r="H36" s="549">
        <f t="shared" si="1"/>
        <v>0</v>
      </c>
    </row>
    <row r="37" spans="1:8">
      <c r="A37" s="228">
        <v>9.6999999999999993</v>
      </c>
      <c r="B37" s="226" t="s">
        <v>171</v>
      </c>
      <c r="C37" s="591">
        <v>0</v>
      </c>
      <c r="D37" s="591">
        <v>0</v>
      </c>
      <c r="E37" s="548">
        <f t="shared" si="0"/>
        <v>0</v>
      </c>
      <c r="F37" s="547"/>
      <c r="G37" s="547"/>
      <c r="H37" s="549">
        <f t="shared" si="1"/>
        <v>0</v>
      </c>
    </row>
    <row r="38" spans="1:8">
      <c r="A38" s="228">
        <v>10</v>
      </c>
      <c r="B38" s="223" t="s">
        <v>173</v>
      </c>
      <c r="C38" s="591">
        <f>C41+C42</f>
        <v>14497253.129999992</v>
      </c>
      <c r="D38" s="591">
        <f>D41+D42</f>
        <v>0</v>
      </c>
      <c r="E38" s="551">
        <f t="shared" si="0"/>
        <v>14497253.129999992</v>
      </c>
      <c r="F38" s="550">
        <f>F41+F42</f>
        <v>0</v>
      </c>
      <c r="G38" s="550">
        <f>G41+G42</f>
        <v>0</v>
      </c>
      <c r="H38" s="549">
        <f t="shared" si="1"/>
        <v>0</v>
      </c>
    </row>
    <row r="39" spans="1:8">
      <c r="A39" s="228">
        <v>10.1</v>
      </c>
      <c r="B39" s="226" t="s">
        <v>174</v>
      </c>
      <c r="C39" s="591">
        <v>2647140.4100000011</v>
      </c>
      <c r="D39" s="591">
        <v>0</v>
      </c>
      <c r="E39" s="548">
        <f t="shared" si="0"/>
        <v>2647140.4100000011</v>
      </c>
      <c r="F39" s="547"/>
      <c r="G39" s="547"/>
      <c r="H39" s="549">
        <f t="shared" si="1"/>
        <v>0</v>
      </c>
    </row>
    <row r="40" spans="1:8">
      <c r="A40" s="228">
        <v>10.199999999999999</v>
      </c>
      <c r="B40" s="226" t="s">
        <v>175</v>
      </c>
      <c r="C40" s="591">
        <v>1020582.9100000005</v>
      </c>
      <c r="D40" s="591">
        <v>0</v>
      </c>
      <c r="E40" s="548">
        <f t="shared" si="0"/>
        <v>1020582.9100000005</v>
      </c>
      <c r="F40" s="547"/>
      <c r="G40" s="547"/>
      <c r="H40" s="549">
        <f t="shared" si="1"/>
        <v>0</v>
      </c>
    </row>
    <row r="41" spans="1:8">
      <c r="A41" s="228">
        <v>10.3</v>
      </c>
      <c r="B41" s="226" t="s">
        <v>178</v>
      </c>
      <c r="C41" s="591">
        <v>10593544.669999992</v>
      </c>
      <c r="D41" s="591">
        <v>0</v>
      </c>
      <c r="E41" s="548">
        <f t="shared" si="0"/>
        <v>10593544.669999992</v>
      </c>
      <c r="F41" s="547"/>
      <c r="G41" s="547"/>
      <c r="H41" s="549">
        <f t="shared" si="1"/>
        <v>0</v>
      </c>
    </row>
    <row r="42" spans="1:8" ht="26.4">
      <c r="A42" s="228">
        <v>10.4</v>
      </c>
      <c r="B42" s="226" t="s">
        <v>179</v>
      </c>
      <c r="C42" s="591">
        <v>3903708.4599999981</v>
      </c>
      <c r="D42" s="591">
        <v>0</v>
      </c>
      <c r="E42" s="548">
        <f t="shared" si="0"/>
        <v>3903708.4599999981</v>
      </c>
      <c r="F42" s="547"/>
      <c r="G42" s="547"/>
      <c r="H42" s="549">
        <f t="shared" si="1"/>
        <v>0</v>
      </c>
    </row>
    <row r="43" spans="1:8" ht="14.4" thickBot="1">
      <c r="A43" s="228">
        <v>11</v>
      </c>
      <c r="B43" s="92" t="s">
        <v>176</v>
      </c>
      <c r="C43" s="591">
        <v>0</v>
      </c>
      <c r="D43" s="591">
        <v>0</v>
      </c>
      <c r="E43" s="548">
        <f t="shared" si="0"/>
        <v>0</v>
      </c>
      <c r="F43" s="547"/>
      <c r="G43" s="547"/>
      <c r="H43" s="549">
        <f t="shared" si="1"/>
        <v>0</v>
      </c>
    </row>
    <row r="44" spans="1:8">
      <c r="C44" s="227"/>
      <c r="D44" s="227"/>
      <c r="E44" s="227"/>
      <c r="F44" s="227"/>
      <c r="G44" s="227"/>
      <c r="H44" s="227"/>
    </row>
    <row r="45" spans="1:8">
      <c r="C45" s="227"/>
      <c r="D45" s="227"/>
      <c r="E45" s="227"/>
      <c r="F45" s="227"/>
      <c r="G45" s="227"/>
      <c r="H45" s="227"/>
    </row>
    <row r="46" spans="1:8">
      <c r="C46" s="227"/>
      <c r="D46" s="227"/>
      <c r="E46" s="227"/>
      <c r="F46" s="227"/>
      <c r="G46" s="227"/>
      <c r="H46" s="227"/>
    </row>
    <row r="47" spans="1:8">
      <c r="C47" s="227"/>
      <c r="D47" s="227"/>
      <c r="E47" s="227"/>
      <c r="F47" s="227"/>
      <c r="G47" s="227"/>
      <c r="H47" s="227"/>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29"/>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A15" sqref="A15"/>
    </sheetView>
  </sheetViews>
  <sheetFormatPr defaultColWidth="9.21875" defaultRowHeight="13.2"/>
  <cols>
    <col min="1" max="1" width="11.44140625" style="9" bestFit="1" customWidth="1"/>
    <col min="2" max="2" width="93.5546875" style="9" customWidth="1"/>
    <col min="3" max="3" width="13.33203125" style="9" customWidth="1"/>
    <col min="4" max="4" width="13.109375" style="9" customWidth="1"/>
    <col min="5" max="5" width="11.88671875" style="25" customWidth="1"/>
    <col min="6" max="6" width="12.6640625" style="25" customWidth="1"/>
    <col min="7" max="11" width="9.77734375" style="25" customWidth="1"/>
    <col min="12" max="16384" width="9.21875" style="25"/>
  </cols>
  <sheetData>
    <row r="1" spans="1:7" ht="13.8">
      <c r="A1" s="498" t="s">
        <v>680</v>
      </c>
      <c r="B1" s="496" t="str">
        <f>'Info '!C2</f>
        <v>Crystal</v>
      </c>
      <c r="C1" s="8"/>
    </row>
    <row r="2" spans="1:7">
      <c r="A2" s="66" t="s">
        <v>31</v>
      </c>
      <c r="B2" s="497">
        <f>'1. key ratios '!B2</f>
        <v>46112</v>
      </c>
      <c r="C2" s="8"/>
    </row>
    <row r="3" spans="1:7">
      <c r="A3" s="7"/>
      <c r="B3" s="8"/>
      <c r="C3" s="8"/>
    </row>
    <row r="4" spans="1:7" ht="15" customHeight="1" thickBot="1">
      <c r="A4" s="9" t="s">
        <v>89</v>
      </c>
      <c r="B4" s="76" t="s">
        <v>155</v>
      </c>
      <c r="C4" s="27" t="s">
        <v>35</v>
      </c>
    </row>
    <row r="5" spans="1:7" ht="15" customHeight="1">
      <c r="A5" s="109" t="s">
        <v>7</v>
      </c>
      <c r="B5" s="110"/>
      <c r="C5" s="206" t="str">
        <f>INT((MONTH($B$2))/3)&amp;"Q"&amp;"-"&amp;YEAR($B$2)</f>
        <v>1Q-2026</v>
      </c>
      <c r="D5" s="206" t="str">
        <f>IF(INT(MONTH($B$2))=3, "4"&amp;"Q"&amp;"-"&amp;YEAR($B$2)-1, IF(INT(MONTH($B$2))=6, "1"&amp;"Q"&amp;"-"&amp;YEAR($B$2), IF(INT(MONTH($B$2))=9, "2"&amp;"Q"&amp;"-"&amp;YEAR($B$2),IF(INT(MONTH($B$2))=12, "3"&amp;"Q"&amp;"-"&amp;YEAR($B$2), 0))))</f>
        <v>4Q-2025</v>
      </c>
      <c r="E5" s="206" t="str">
        <f>IF(INT(MONTH($B$2))=3, "3"&amp;"Q"&amp;"-"&amp;YEAR($B$2)-1, IF(INT(MONTH($B$2))=6, "4"&amp;"Q"&amp;"-"&amp;YEAR($B$2)-1, IF(INT(MONTH($B$2))=9, "1"&amp;"Q"&amp;"-"&amp;YEAR($B$2),IF(INT(MONTH($B$2))=12, "2"&amp;"Q"&amp;"-"&amp;YEAR($B$2), 0))))</f>
        <v>3Q-2025</v>
      </c>
      <c r="F5" s="206" t="str">
        <f>IF(INT(MONTH($B$2))=3, "2"&amp;"Q"&amp;"-"&amp;YEAR($B$2)-1, IF(INT(MONTH($B$2))=6, "3"&amp;"Q"&amp;"-"&amp;YEAR($B$2)-1, IF(INT(MONTH($B$2))=9, "4"&amp;"Q"&amp;"-"&amp;YEAR($B$2)-1,IF(INT(MONTH($B$2))=12, "1"&amp;"Q"&amp;"-"&amp;YEAR($B$2), 0))))</f>
        <v>2Q-2025</v>
      </c>
      <c r="G5" s="207" t="str">
        <f>IF(INT(MONTH($B$2))=3, "1"&amp;"Q"&amp;"-"&amp;YEAR($B$2)-1, IF(INT(MONTH($B$2))=6, "2"&amp;"Q"&amp;"-"&amp;YEAR($B$2)-1, IF(INT(MONTH($B$2))=9, "3"&amp;"Q"&amp;"-"&amp;YEAR($B$2)-1,IF(INT(MONTH($B$2))=12, "4"&amp;"Q"&amp;"-"&amp;YEAR($B$2)-1, 0))))</f>
        <v>1Q-2025</v>
      </c>
    </row>
    <row r="6" spans="1:7" ht="15" customHeight="1">
      <c r="A6" s="28">
        <v>1</v>
      </c>
      <c r="B6" s="182" t="s">
        <v>159</v>
      </c>
      <c r="C6" s="592">
        <f>C7+C9+C10</f>
        <v>500596029.31774253</v>
      </c>
      <c r="D6" s="592">
        <f>D7+D9+D10</f>
        <v>477841853.70038956</v>
      </c>
      <c r="E6" s="592">
        <f>E7+E9+E10</f>
        <v>468606209.03590357</v>
      </c>
      <c r="F6" s="592">
        <f>F7+F9+F10</f>
        <v>470563128.5438292</v>
      </c>
      <c r="G6" s="593">
        <f t="shared" ref="G6" si="0">G7+G9+G10</f>
        <v>0</v>
      </c>
    </row>
    <row r="7" spans="1:7" ht="15" customHeight="1">
      <c r="A7" s="28">
        <v>1.1000000000000001</v>
      </c>
      <c r="B7" s="182" t="s">
        <v>667</v>
      </c>
      <c r="C7" s="594">
        <v>496867995.47536576</v>
      </c>
      <c r="D7" s="595">
        <v>473124265.75658876</v>
      </c>
      <c r="E7" s="596">
        <v>460539016.09141302</v>
      </c>
      <c r="F7" s="594">
        <v>461008125.31766635</v>
      </c>
      <c r="G7" s="597"/>
    </row>
    <row r="8" spans="1:7" ht="13.8">
      <c r="A8" s="28" t="s">
        <v>15</v>
      </c>
      <c r="B8" s="182" t="s">
        <v>88</v>
      </c>
      <c r="C8" s="596">
        <v>413945.62</v>
      </c>
      <c r="D8" s="595">
        <v>899393.06</v>
      </c>
      <c r="E8" s="596">
        <v>1366379.85</v>
      </c>
      <c r="F8" s="594">
        <v>1366379.85</v>
      </c>
      <c r="G8" s="597"/>
    </row>
    <row r="9" spans="1:7" ht="15" customHeight="1">
      <c r="A9" s="28">
        <v>1.2</v>
      </c>
      <c r="B9" s="183" t="s">
        <v>87</v>
      </c>
      <c r="C9" s="594">
        <v>588133.35978999827</v>
      </c>
      <c r="D9" s="595">
        <v>610070.06168999977</v>
      </c>
      <c r="E9" s="596">
        <v>589012.95668999979</v>
      </c>
      <c r="F9" s="594">
        <v>581639.28435999993</v>
      </c>
      <c r="G9" s="597"/>
    </row>
    <row r="10" spans="1:7" ht="15" customHeight="1">
      <c r="A10" s="28">
        <v>1.3</v>
      </c>
      <c r="B10" s="182" t="s">
        <v>29</v>
      </c>
      <c r="C10" s="594">
        <v>3139900.4825867345</v>
      </c>
      <c r="D10" s="595">
        <v>4107517.8821108225</v>
      </c>
      <c r="E10" s="596">
        <v>7478179.9878005143</v>
      </c>
      <c r="F10" s="594">
        <v>8973363.9418028705</v>
      </c>
      <c r="G10" s="597"/>
    </row>
    <row r="11" spans="1:7" ht="15" customHeight="1">
      <c r="A11" s="28">
        <v>2</v>
      </c>
      <c r="B11" s="182" t="s">
        <v>156</v>
      </c>
      <c r="C11" s="594">
        <v>5019842.7704039067</v>
      </c>
      <c r="D11" s="595">
        <v>1346552.4854015093</v>
      </c>
      <c r="E11" s="596">
        <v>2753339.4471601588</v>
      </c>
      <c r="F11" s="594">
        <v>4930303.1623219214</v>
      </c>
      <c r="G11" s="597"/>
    </row>
    <row r="12" spans="1:7" ht="15" customHeight="1">
      <c r="A12" s="28">
        <v>3</v>
      </c>
      <c r="B12" s="182" t="s">
        <v>157</v>
      </c>
      <c r="C12" s="594">
        <v>179422907.11874998</v>
      </c>
      <c r="D12" s="595">
        <v>179422907.11874998</v>
      </c>
      <c r="E12" s="596">
        <v>151556553.58750001</v>
      </c>
      <c r="F12" s="594">
        <v>151556553.58750001</v>
      </c>
      <c r="G12" s="597"/>
    </row>
    <row r="13" spans="1:7" ht="15" customHeight="1" thickBot="1">
      <c r="A13" s="30">
        <v>4</v>
      </c>
      <c r="B13" s="31" t="s">
        <v>158</v>
      </c>
      <c r="C13" s="598">
        <f>C6+C11+C12</f>
        <v>685038779.20689642</v>
      </c>
      <c r="D13" s="598">
        <f>D6+D11+D12</f>
        <v>658611313.30454111</v>
      </c>
      <c r="E13" s="598">
        <f>E6+E11+E12</f>
        <v>622916102.07056379</v>
      </c>
      <c r="F13" s="598">
        <f>F6+F11+F12</f>
        <v>627049985.2936511</v>
      </c>
      <c r="G13" s="599">
        <f t="shared" ref="G13" si="1">G6+G11+G12</f>
        <v>0</v>
      </c>
    </row>
    <row r="14" spans="1:7">
      <c r="B14" s="34"/>
    </row>
    <row r="15" spans="1:7">
      <c r="B15" s="34"/>
    </row>
    <row r="16" spans="1:7">
      <c r="B16" s="34"/>
    </row>
    <row r="17" s="25" customFormat="1" ht="10.199999999999999"/>
    <row r="18" s="25" customFormat="1" ht="10.199999999999999"/>
    <row r="19" s="25" customFormat="1" ht="10.199999999999999"/>
    <row r="20" s="25" customFormat="1" ht="10.199999999999999"/>
    <row r="21" s="25" customFormat="1" ht="10.199999999999999"/>
    <row r="22" s="25" customFormat="1" ht="10.199999999999999"/>
    <row r="23" s="25" customFormat="1" ht="10.199999999999999"/>
    <row r="24" s="25" customFormat="1" ht="10.199999999999999"/>
    <row r="25" s="25" customFormat="1" ht="10.199999999999999"/>
    <row r="26" s="25" customFormat="1" ht="10.199999999999999"/>
    <row r="27" s="25" customFormat="1" ht="10.199999999999999"/>
    <row r="28" s="25" customFormat="1" ht="10.199999999999999"/>
    <row r="29" s="25"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2"/>
  <sheetViews>
    <sheetView zoomScale="70" zoomScaleNormal="70" workbookViewId="0">
      <pane xSplit="1" ySplit="4" topLeftCell="B5" activePane="bottomRight" state="frozen"/>
      <selection activeCell="B42" sqref="B42"/>
      <selection pane="topRight" activeCell="B42" sqref="B42"/>
      <selection pane="bottomLeft" activeCell="B42" sqref="B42"/>
      <selection pane="bottomRight" activeCell="F10" sqref="F10"/>
    </sheetView>
  </sheetViews>
  <sheetFormatPr defaultColWidth="9.21875" defaultRowHeight="13.2"/>
  <cols>
    <col min="1" max="1" width="11.109375" style="43" bestFit="1" customWidth="1"/>
    <col min="2" max="2" width="65.5546875" style="43" customWidth="1"/>
    <col min="3" max="3" width="27.5546875" style="43" customWidth="1"/>
    <col min="4" max="16384" width="9.21875" style="43"/>
  </cols>
  <sheetData>
    <row r="1" spans="1:8">
      <c r="A1" s="501" t="s">
        <v>680</v>
      </c>
      <c r="B1" s="502" t="str">
        <f>'Info '!C2</f>
        <v>Crystal</v>
      </c>
    </row>
    <row r="2" spans="1:8">
      <c r="A2" s="501" t="s">
        <v>31</v>
      </c>
      <c r="B2" s="503">
        <f>'1. key ratios '!B2</f>
        <v>46112</v>
      </c>
    </row>
    <row r="4" spans="1:8" ht="28.05" customHeight="1" thickBot="1">
      <c r="A4" s="466" t="s">
        <v>41</v>
      </c>
      <c r="B4" s="35" t="s">
        <v>137</v>
      </c>
      <c r="C4" s="467"/>
    </row>
    <row r="5" spans="1:8">
      <c r="A5" s="468"/>
      <c r="B5" s="203" t="s">
        <v>42</v>
      </c>
      <c r="C5" s="204" t="s">
        <v>304</v>
      </c>
    </row>
    <row r="6" spans="1:8">
      <c r="A6" s="36">
        <v>1</v>
      </c>
      <c r="B6" s="469" t="s">
        <v>699</v>
      </c>
      <c r="C6" s="470" t="s">
        <v>722</v>
      </c>
    </row>
    <row r="7" spans="1:8">
      <c r="A7" s="36">
        <v>2</v>
      </c>
      <c r="B7" s="469" t="s">
        <v>727</v>
      </c>
      <c r="C7" s="470" t="s">
        <v>755</v>
      </c>
    </row>
    <row r="8" spans="1:8">
      <c r="A8" s="36">
        <v>3</v>
      </c>
      <c r="B8" s="469" t="s">
        <v>728</v>
      </c>
      <c r="C8" s="470" t="s">
        <v>722</v>
      </c>
    </row>
    <row r="9" spans="1:8">
      <c r="A9" s="36">
        <v>4</v>
      </c>
      <c r="B9" s="469" t="s">
        <v>729</v>
      </c>
      <c r="C9" s="470" t="s">
        <v>721</v>
      </c>
    </row>
    <row r="10" spans="1:8">
      <c r="A10" s="36">
        <v>5</v>
      </c>
      <c r="B10" s="469"/>
      <c r="C10" s="470"/>
    </row>
    <row r="11" spans="1:8">
      <c r="A11" s="36">
        <v>6</v>
      </c>
      <c r="B11" s="469"/>
      <c r="C11" s="470"/>
    </row>
    <row r="12" spans="1:8">
      <c r="A12" s="36">
        <v>7</v>
      </c>
      <c r="B12" s="469"/>
      <c r="C12" s="470"/>
      <c r="H12" s="33"/>
    </row>
    <row r="13" spans="1:8">
      <c r="A13" s="36">
        <v>8</v>
      </c>
      <c r="B13" s="469"/>
      <c r="C13" s="470"/>
    </row>
    <row r="14" spans="1:8">
      <c r="A14" s="36">
        <v>9</v>
      </c>
      <c r="B14" s="469"/>
      <c r="C14" s="470"/>
    </row>
    <row r="15" spans="1:8">
      <c r="A15" s="36">
        <v>10</v>
      </c>
      <c r="B15" s="469"/>
      <c r="C15" s="470"/>
    </row>
    <row r="16" spans="1:8">
      <c r="A16" s="36"/>
      <c r="B16" s="17"/>
      <c r="C16" s="471"/>
    </row>
    <row r="17" spans="1:3" ht="26.4">
      <c r="A17" s="36"/>
      <c r="B17" s="98" t="s">
        <v>43</v>
      </c>
      <c r="C17" s="205" t="s">
        <v>305</v>
      </c>
    </row>
    <row r="18" spans="1:3">
      <c r="A18" s="36">
        <v>1</v>
      </c>
      <c r="B18" s="469" t="s">
        <v>700</v>
      </c>
      <c r="C18" s="472" t="s">
        <v>723</v>
      </c>
    </row>
    <row r="19" spans="1:3">
      <c r="A19" s="36">
        <v>2</v>
      </c>
      <c r="B19" s="469" t="s">
        <v>731</v>
      </c>
      <c r="C19" s="472" t="s">
        <v>736</v>
      </c>
    </row>
    <row r="20" spans="1:3">
      <c r="A20" s="36">
        <v>3</v>
      </c>
      <c r="B20" s="469" t="s">
        <v>732</v>
      </c>
      <c r="C20" s="472" t="s">
        <v>724</v>
      </c>
    </row>
    <row r="21" spans="1:3">
      <c r="A21" s="36">
        <v>4</v>
      </c>
      <c r="B21" s="469" t="s">
        <v>734</v>
      </c>
      <c r="C21" s="472" t="s">
        <v>725</v>
      </c>
    </row>
    <row r="22" spans="1:3">
      <c r="A22" s="36">
        <v>5</v>
      </c>
      <c r="B22" s="469" t="s">
        <v>733</v>
      </c>
      <c r="C22" s="472" t="s">
        <v>737</v>
      </c>
    </row>
    <row r="23" spans="1:3">
      <c r="A23" s="36">
        <v>6</v>
      </c>
      <c r="B23" s="469" t="s">
        <v>730</v>
      </c>
      <c r="C23" s="472" t="s">
        <v>726</v>
      </c>
    </row>
    <row r="24" spans="1:3">
      <c r="A24" s="36">
        <v>7</v>
      </c>
      <c r="B24" s="469"/>
      <c r="C24" s="472"/>
    </row>
    <row r="25" spans="1:3">
      <c r="A25" s="36">
        <v>8</v>
      </c>
      <c r="B25" s="469"/>
      <c r="C25" s="472"/>
    </row>
    <row r="26" spans="1:3">
      <c r="A26" s="36">
        <v>9</v>
      </c>
      <c r="B26" s="469"/>
      <c r="C26" s="472"/>
    </row>
    <row r="27" spans="1:3" ht="15.75" customHeight="1">
      <c r="A27" s="36">
        <v>10</v>
      </c>
      <c r="B27" s="469"/>
      <c r="C27" s="473"/>
    </row>
    <row r="28" spans="1:3" ht="15.75" customHeight="1">
      <c r="A28" s="36"/>
      <c r="B28" s="469"/>
      <c r="C28" s="473"/>
    </row>
    <row r="29" spans="1:3" ht="30" customHeight="1">
      <c r="A29" s="36"/>
      <c r="B29" s="722" t="s">
        <v>44</v>
      </c>
      <c r="C29" s="723"/>
    </row>
    <row r="30" spans="1:3">
      <c r="A30" s="36">
        <v>1</v>
      </c>
      <c r="B30" s="469" t="s">
        <v>744</v>
      </c>
      <c r="C30" s="572">
        <v>0.40029999999999999</v>
      </c>
    </row>
    <row r="31" spans="1:3">
      <c r="A31" s="36">
        <v>2</v>
      </c>
      <c r="B31" s="469" t="s">
        <v>745</v>
      </c>
      <c r="C31" s="572">
        <v>0.188</v>
      </c>
    </row>
    <row r="32" spans="1:3">
      <c r="A32" s="36">
        <v>3</v>
      </c>
      <c r="B32" s="469" t="s">
        <v>699</v>
      </c>
      <c r="C32" s="572">
        <v>0.11446094400007044</v>
      </c>
    </row>
    <row r="33" spans="1:3">
      <c r="A33" s="36">
        <v>4</v>
      </c>
      <c r="B33" s="469" t="s">
        <v>735</v>
      </c>
      <c r="C33" s="572">
        <v>9.3100000000000002E-2</v>
      </c>
    </row>
    <row r="34" spans="1:3">
      <c r="A34" s="36">
        <v>5</v>
      </c>
      <c r="B34" s="469" t="s">
        <v>746</v>
      </c>
      <c r="C34" s="572">
        <v>5.7299999999999997E-2</v>
      </c>
    </row>
    <row r="35" spans="1:3">
      <c r="A35" s="36">
        <v>6</v>
      </c>
      <c r="B35" s="469" t="s">
        <v>747</v>
      </c>
      <c r="C35" s="572">
        <v>3.0800000000000001E-2</v>
      </c>
    </row>
    <row r="36" spans="1:3">
      <c r="A36" s="36">
        <v>7</v>
      </c>
      <c r="B36" s="469" t="s">
        <v>748</v>
      </c>
      <c r="C36" s="572">
        <v>2.63E-2</v>
      </c>
    </row>
    <row r="37" spans="1:3">
      <c r="A37" s="36">
        <v>8</v>
      </c>
      <c r="B37" s="469" t="s">
        <v>749</v>
      </c>
      <c r="C37" s="572">
        <v>1.6500000000000001E-2</v>
      </c>
    </row>
    <row r="38" spans="1:3">
      <c r="A38" s="36">
        <v>9</v>
      </c>
      <c r="B38" s="469" t="s">
        <v>750</v>
      </c>
      <c r="C38" s="572">
        <v>1.2699999999999999E-2</v>
      </c>
    </row>
    <row r="39" spans="1:3">
      <c r="A39" s="36">
        <v>10</v>
      </c>
      <c r="B39" s="469"/>
      <c r="C39" s="474"/>
    </row>
    <row r="40" spans="1:3" ht="15.75" customHeight="1">
      <c r="A40" s="36"/>
      <c r="B40" s="469"/>
      <c r="C40" s="470"/>
    </row>
    <row r="41" spans="1:3" ht="29.25" customHeight="1">
      <c r="A41" s="36"/>
      <c r="B41" s="722" t="s">
        <v>675</v>
      </c>
      <c r="C41" s="723"/>
    </row>
    <row r="42" spans="1:3">
      <c r="A42" s="36">
        <v>1</v>
      </c>
      <c r="B42" s="469" t="s">
        <v>699</v>
      </c>
      <c r="C42" s="572">
        <v>0.11446094400007044</v>
      </c>
    </row>
    <row r="43" spans="1:3">
      <c r="A43" s="36">
        <v>2</v>
      </c>
      <c r="B43" s="469" t="s">
        <v>735</v>
      </c>
      <c r="C43" s="572">
        <v>9.3100000000000002E-2</v>
      </c>
    </row>
    <row r="44" spans="1:3">
      <c r="A44" s="36">
        <v>3</v>
      </c>
      <c r="B44" s="469" t="s">
        <v>731</v>
      </c>
      <c r="C44" s="572">
        <v>5.7299999999999997E-2</v>
      </c>
    </row>
    <row r="45" spans="1:3">
      <c r="A45" s="36">
        <v>4</v>
      </c>
      <c r="B45" s="469" t="s">
        <v>705</v>
      </c>
      <c r="C45" s="572">
        <v>0.40029999999999999</v>
      </c>
    </row>
    <row r="46" spans="1:3">
      <c r="A46" s="36">
        <v>5</v>
      </c>
      <c r="B46" s="469" t="s">
        <v>706</v>
      </c>
      <c r="C46" s="572">
        <v>0.188</v>
      </c>
    </row>
    <row r="47" spans="1:3">
      <c r="A47" s="36">
        <v>6</v>
      </c>
      <c r="B47" s="469" t="s">
        <v>707</v>
      </c>
      <c r="C47" s="572">
        <v>0.1759</v>
      </c>
    </row>
    <row r="48" spans="1:3">
      <c r="A48" s="36">
        <v>7</v>
      </c>
      <c r="B48" s="469" t="s">
        <v>708</v>
      </c>
      <c r="C48" s="572">
        <v>0.1759</v>
      </c>
    </row>
    <row r="49" spans="1:3">
      <c r="A49" s="36">
        <v>8</v>
      </c>
      <c r="B49" s="469" t="s">
        <v>709</v>
      </c>
      <c r="C49" s="572">
        <v>0.188</v>
      </c>
    </row>
    <row r="50" spans="1:3">
      <c r="A50" s="36">
        <v>9</v>
      </c>
      <c r="B50" s="469" t="s">
        <v>710</v>
      </c>
      <c r="C50" s="572">
        <v>0.14899999999999999</v>
      </c>
    </row>
    <row r="51" spans="1:3" ht="26.4">
      <c r="A51" s="36">
        <v>10</v>
      </c>
      <c r="B51" s="469" t="s">
        <v>711</v>
      </c>
      <c r="C51" s="572">
        <v>5.2299999999999999E-2</v>
      </c>
    </row>
    <row r="52" spans="1:3">
      <c r="A52" s="36">
        <v>11</v>
      </c>
      <c r="B52" s="469" t="s">
        <v>712</v>
      </c>
      <c r="C52" s="572">
        <v>6.54E-2</v>
      </c>
    </row>
    <row r="53" spans="1:3" ht="26.4">
      <c r="A53" s="36">
        <v>12</v>
      </c>
      <c r="B53" s="469" t="s">
        <v>713</v>
      </c>
      <c r="C53" s="572">
        <v>6.2700000000000006E-2</v>
      </c>
    </row>
    <row r="54" spans="1:3">
      <c r="A54" s="36">
        <v>13</v>
      </c>
      <c r="B54" s="469" t="s">
        <v>714</v>
      </c>
      <c r="C54" s="572">
        <v>5.3400000000000003E-2</v>
      </c>
    </row>
    <row r="55" spans="1:3">
      <c r="A55" s="36">
        <v>14</v>
      </c>
      <c r="B55" s="469" t="s">
        <v>715</v>
      </c>
      <c r="C55" s="572">
        <v>6.54E-2</v>
      </c>
    </row>
    <row r="56" spans="1:3">
      <c r="A56" s="36">
        <v>15</v>
      </c>
      <c r="B56" s="469" t="s">
        <v>716</v>
      </c>
      <c r="C56" s="572">
        <v>6.54E-2</v>
      </c>
    </row>
    <row r="57" spans="1:3">
      <c r="A57" s="36">
        <v>16</v>
      </c>
      <c r="B57" s="469" t="s">
        <v>717</v>
      </c>
      <c r="C57" s="572">
        <v>6.54E-2</v>
      </c>
    </row>
    <row r="58" spans="1:3">
      <c r="A58" s="36">
        <v>17</v>
      </c>
      <c r="B58" s="469" t="s">
        <v>718</v>
      </c>
      <c r="C58" s="572">
        <v>6.54E-2</v>
      </c>
    </row>
    <row r="59" spans="1:3">
      <c r="A59" s="36">
        <v>18</v>
      </c>
      <c r="B59" s="469" t="s">
        <v>719</v>
      </c>
      <c r="C59" s="572">
        <v>6.54E-2</v>
      </c>
    </row>
    <row r="60" spans="1:3">
      <c r="A60" s="570">
        <v>19</v>
      </c>
      <c r="B60" s="571" t="s">
        <v>720</v>
      </c>
      <c r="C60" s="668">
        <v>9.4E-2</v>
      </c>
    </row>
    <row r="61" spans="1:3">
      <c r="A61" s="36">
        <v>20</v>
      </c>
      <c r="B61" s="469"/>
      <c r="C61" s="474"/>
    </row>
    <row r="62" spans="1:3" ht="13.8" thickBot="1">
      <c r="A62" s="475"/>
      <c r="B62" s="476"/>
      <c r="C62" s="477"/>
    </row>
  </sheetData>
  <mergeCells count="2">
    <mergeCell ref="B41:C41"/>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3"/>
  <sheetViews>
    <sheetView zoomScale="71" zoomScaleNormal="80" workbookViewId="0">
      <pane xSplit="2" ySplit="7" topLeftCell="C28" activePane="bottomRight" state="frozen"/>
      <selection activeCell="B42" sqref="B42"/>
      <selection pane="topRight" activeCell="B42" sqref="B42"/>
      <selection pane="bottomLeft" activeCell="B42" sqref="B42"/>
      <selection pane="bottomRight" activeCell="C40" sqref="C40"/>
    </sheetView>
  </sheetViews>
  <sheetFormatPr defaultColWidth="9.21875" defaultRowHeight="13.8"/>
  <cols>
    <col min="1" max="1" width="10.88671875" style="9" customWidth="1"/>
    <col min="2" max="2" width="54.21875" style="9" customWidth="1"/>
    <col min="3" max="3" width="28" style="9" customWidth="1"/>
    <col min="4" max="4" width="22.44140625" style="9" customWidth="1"/>
    <col min="5" max="5" width="22.21875" style="9" customWidth="1"/>
    <col min="6" max="6" width="12" style="10" bestFit="1" customWidth="1"/>
    <col min="7" max="7" width="12.5546875" style="10" bestFit="1" customWidth="1"/>
    <col min="8" max="16384" width="9.21875" style="10"/>
  </cols>
  <sheetData>
    <row r="1" spans="1:5">
      <c r="A1" s="506" t="s">
        <v>680</v>
      </c>
      <c r="B1" s="496" t="str">
        <f>'Info '!C2</f>
        <v>Crystal</v>
      </c>
    </row>
    <row r="2" spans="1:5" s="7" customFormat="1" ht="15.75" customHeight="1">
      <c r="A2" s="505" t="s">
        <v>31</v>
      </c>
      <c r="B2" s="497">
        <f>'1. key ratios '!B2</f>
        <v>46112</v>
      </c>
    </row>
    <row r="3" spans="1:5" s="7" customFormat="1" ht="15.75" customHeight="1">
      <c r="A3" s="33"/>
    </row>
    <row r="4" spans="1:5" s="7" customFormat="1" ht="15.75" customHeight="1" thickBot="1">
      <c r="A4" s="140" t="s">
        <v>92</v>
      </c>
      <c r="B4" s="728" t="s">
        <v>188</v>
      </c>
      <c r="C4" s="729"/>
      <c r="D4" s="729"/>
      <c r="E4" s="729"/>
    </row>
    <row r="5" spans="1:5" s="41" customFormat="1" ht="17.55" customHeight="1">
      <c r="A5" s="101"/>
      <c r="B5" s="102"/>
      <c r="C5" s="39" t="s">
        <v>0</v>
      </c>
      <c r="D5" s="39" t="s">
        <v>1</v>
      </c>
      <c r="E5" s="40" t="s">
        <v>2</v>
      </c>
    </row>
    <row r="6" spans="1:5" ht="14.55" customHeight="1">
      <c r="A6" s="87"/>
      <c r="B6" s="724" t="s">
        <v>195</v>
      </c>
      <c r="C6" s="724" t="s">
        <v>591</v>
      </c>
      <c r="D6" s="726" t="s">
        <v>91</v>
      </c>
      <c r="E6" s="727"/>
    </row>
    <row r="7" spans="1:5" ht="99.6" customHeight="1">
      <c r="A7" s="87"/>
      <c r="B7" s="725"/>
      <c r="C7" s="724"/>
      <c r="D7" s="168" t="s">
        <v>90</v>
      </c>
      <c r="E7" s="169" t="s">
        <v>196</v>
      </c>
    </row>
    <row r="8" spans="1:5" ht="20.399999999999999">
      <c r="A8" s="543">
        <v>1</v>
      </c>
      <c r="B8" s="478" t="s">
        <v>492</v>
      </c>
      <c r="C8" s="596">
        <f>SUM(C9:C11)</f>
        <v>53958782.001199998</v>
      </c>
      <c r="D8" s="596">
        <f t="shared" ref="D8:E8" si="0">SUM(D9:D11)</f>
        <v>0</v>
      </c>
      <c r="E8" s="604">
        <f t="shared" si="0"/>
        <v>53958782.001199998</v>
      </c>
    </row>
    <row r="9" spans="1:5" ht="14.4">
      <c r="A9" s="543">
        <v>1.1000000000000001</v>
      </c>
      <c r="B9" s="479" t="s">
        <v>493</v>
      </c>
      <c r="C9" s="596">
        <v>22043931.521100003</v>
      </c>
      <c r="D9" s="596"/>
      <c r="E9" s="604">
        <f>C9-D9</f>
        <v>22043931.521100003</v>
      </c>
    </row>
    <row r="10" spans="1:5" ht="14.4">
      <c r="A10" s="543">
        <v>1.2</v>
      </c>
      <c r="B10" s="479" t="s">
        <v>494</v>
      </c>
      <c r="C10" s="596">
        <v>27005099.023800001</v>
      </c>
      <c r="D10" s="596"/>
      <c r="E10" s="604">
        <f t="shared" ref="E10:E15" si="1">C10-D10</f>
        <v>27005099.023800001</v>
      </c>
    </row>
    <row r="11" spans="1:5" ht="14.4">
      <c r="A11" s="543">
        <v>1.3</v>
      </c>
      <c r="B11" s="479" t="s">
        <v>691</v>
      </c>
      <c r="C11" s="596">
        <v>4909751.4562999997</v>
      </c>
      <c r="D11" s="596"/>
      <c r="E11" s="604">
        <f t="shared" si="1"/>
        <v>4909751.4562999997</v>
      </c>
    </row>
    <row r="12" spans="1:5" ht="14.4">
      <c r="A12" s="543">
        <v>2</v>
      </c>
      <c r="B12" s="480" t="s">
        <v>496</v>
      </c>
      <c r="C12" s="596">
        <v>0</v>
      </c>
      <c r="D12" s="596"/>
      <c r="E12" s="604">
        <f t="shared" si="1"/>
        <v>0</v>
      </c>
    </row>
    <row r="13" spans="1:5" ht="14.4">
      <c r="A13" s="543">
        <v>2.1</v>
      </c>
      <c r="B13" s="481" t="s">
        <v>497</v>
      </c>
      <c r="C13" s="596">
        <v>0</v>
      </c>
      <c r="D13" s="596"/>
      <c r="E13" s="604">
        <f t="shared" si="1"/>
        <v>0</v>
      </c>
    </row>
    <row r="14" spans="1:5" ht="20.399999999999999">
      <c r="A14" s="543">
        <v>3</v>
      </c>
      <c r="B14" s="482" t="s">
        <v>498</v>
      </c>
      <c r="C14" s="596">
        <v>0</v>
      </c>
      <c r="D14" s="596"/>
      <c r="E14" s="604">
        <f t="shared" si="1"/>
        <v>0</v>
      </c>
    </row>
    <row r="15" spans="1:5" ht="14.4">
      <c r="A15" s="543">
        <v>4</v>
      </c>
      <c r="B15" s="453" t="s">
        <v>499</v>
      </c>
      <c r="C15" s="596">
        <v>0</v>
      </c>
      <c r="D15" s="596"/>
      <c r="E15" s="604">
        <f t="shared" si="1"/>
        <v>0</v>
      </c>
    </row>
    <row r="16" spans="1:5" ht="20.399999999999999">
      <c r="A16" s="543">
        <v>5</v>
      </c>
      <c r="B16" s="456" t="s">
        <v>500</v>
      </c>
      <c r="C16" s="596">
        <v>0</v>
      </c>
      <c r="D16" s="596">
        <f t="shared" ref="D16:E16" si="2">SUM(D17:D19)</f>
        <v>0</v>
      </c>
      <c r="E16" s="604">
        <f t="shared" si="2"/>
        <v>0</v>
      </c>
    </row>
    <row r="17" spans="1:5" ht="14.4">
      <c r="A17" s="543">
        <v>5.0999999999999996</v>
      </c>
      <c r="B17" s="452" t="s">
        <v>501</v>
      </c>
      <c r="C17" s="596">
        <v>0</v>
      </c>
      <c r="D17" s="596"/>
      <c r="E17" s="604">
        <f t="shared" ref="E17:E19" si="3">C17-D17</f>
        <v>0</v>
      </c>
    </row>
    <row r="18" spans="1:5" ht="14.4">
      <c r="A18" s="543">
        <v>5.2</v>
      </c>
      <c r="B18" s="452" t="s">
        <v>502</v>
      </c>
      <c r="C18" s="596">
        <v>0</v>
      </c>
      <c r="D18" s="596"/>
      <c r="E18" s="604">
        <f t="shared" si="3"/>
        <v>0</v>
      </c>
    </row>
    <row r="19" spans="1:5" ht="14.4">
      <c r="A19" s="543">
        <v>5.3</v>
      </c>
      <c r="B19" s="483" t="s">
        <v>503</v>
      </c>
      <c r="C19" s="596">
        <v>0</v>
      </c>
      <c r="D19" s="596"/>
      <c r="E19" s="604">
        <f t="shared" si="3"/>
        <v>0</v>
      </c>
    </row>
    <row r="20" spans="1:5" ht="14.4">
      <c r="A20" s="543">
        <v>6</v>
      </c>
      <c r="B20" s="482" t="s">
        <v>504</v>
      </c>
      <c r="C20" s="596">
        <f>SUM(C21:C22)</f>
        <v>576770629.00302505</v>
      </c>
      <c r="D20" s="596">
        <f t="shared" ref="D20:E20" si="4">SUM(D21:D22)</f>
        <v>0</v>
      </c>
      <c r="E20" s="604">
        <f t="shared" si="4"/>
        <v>576770629.00302505</v>
      </c>
    </row>
    <row r="21" spans="1:5" ht="14.4">
      <c r="A21" s="543">
        <v>6.1</v>
      </c>
      <c r="B21" s="452" t="s">
        <v>502</v>
      </c>
      <c r="C21" s="596">
        <v>0</v>
      </c>
      <c r="D21" s="590"/>
      <c r="E21" s="604">
        <f t="shared" ref="E21:E24" si="5">C21-D21</f>
        <v>0</v>
      </c>
    </row>
    <row r="22" spans="1:5" ht="14.4">
      <c r="A22" s="543">
        <v>6.2</v>
      </c>
      <c r="B22" s="483" t="s">
        <v>503</v>
      </c>
      <c r="C22" s="596">
        <v>576770629.00302505</v>
      </c>
      <c r="D22" s="590"/>
      <c r="E22" s="604">
        <f t="shared" si="5"/>
        <v>576770629.00302505</v>
      </c>
    </row>
    <row r="23" spans="1:5" ht="14.4">
      <c r="A23" s="543">
        <v>7</v>
      </c>
      <c r="B23" s="480" t="s">
        <v>505</v>
      </c>
      <c r="C23" s="596">
        <v>549791</v>
      </c>
      <c r="D23" s="590">
        <f>C23</f>
        <v>549791</v>
      </c>
      <c r="E23" s="604">
        <f t="shared" si="5"/>
        <v>0</v>
      </c>
    </row>
    <row r="24" spans="1:5" ht="20.399999999999999">
      <c r="A24" s="543">
        <v>8</v>
      </c>
      <c r="B24" s="480" t="s">
        <v>506</v>
      </c>
      <c r="C24" s="596">
        <v>0</v>
      </c>
      <c r="D24" s="590"/>
      <c r="E24" s="604">
        <f t="shared" si="5"/>
        <v>0</v>
      </c>
    </row>
    <row r="25" spans="1:5" ht="14.4">
      <c r="A25" s="543">
        <v>9</v>
      </c>
      <c r="B25" s="453" t="s">
        <v>507</v>
      </c>
      <c r="C25" s="590">
        <v>25004401.72000001</v>
      </c>
      <c r="D25" s="590">
        <f t="shared" ref="D25:E25" si="6">SUM(D26:D27)</f>
        <v>0</v>
      </c>
      <c r="E25" s="603">
        <f t="shared" si="6"/>
        <v>25004401.72000001</v>
      </c>
    </row>
    <row r="26" spans="1:5" ht="14.4">
      <c r="A26" s="543">
        <v>9.1</v>
      </c>
      <c r="B26" s="452" t="s">
        <v>508</v>
      </c>
      <c r="C26" s="596">
        <v>25004401.72000001</v>
      </c>
      <c r="D26" s="590"/>
      <c r="E26" s="604">
        <f t="shared" ref="E26:E27" si="7">C26-D26</f>
        <v>25004401.72000001</v>
      </c>
    </row>
    <row r="27" spans="1:5" ht="14.4">
      <c r="A27" s="543">
        <v>9.1999999999999993</v>
      </c>
      <c r="B27" s="452" t="s">
        <v>509</v>
      </c>
      <c r="C27" s="596">
        <v>0</v>
      </c>
      <c r="D27" s="590"/>
      <c r="E27" s="604">
        <f t="shared" si="7"/>
        <v>0</v>
      </c>
    </row>
    <row r="28" spans="1:5" ht="14.4">
      <c r="A28" s="543">
        <v>10</v>
      </c>
      <c r="B28" s="453" t="s">
        <v>510</v>
      </c>
      <c r="C28" s="590">
        <v>8430538.2199999988</v>
      </c>
      <c r="D28" s="590">
        <f t="shared" ref="D28:E28" si="8">SUM(D29:D30)</f>
        <v>8430538.2199999988</v>
      </c>
      <c r="E28" s="603">
        <f t="shared" si="8"/>
        <v>0</v>
      </c>
    </row>
    <row r="29" spans="1:5" ht="14.4">
      <c r="A29" s="543">
        <v>10.1</v>
      </c>
      <c r="B29" s="452" t="s">
        <v>511</v>
      </c>
      <c r="C29" s="596">
        <v>0</v>
      </c>
      <c r="D29" s="590"/>
      <c r="E29" s="604">
        <f t="shared" ref="E29:E30" si="9">C29-D29</f>
        <v>0</v>
      </c>
    </row>
    <row r="30" spans="1:5" ht="14.4">
      <c r="A30" s="543">
        <v>10.199999999999999</v>
      </c>
      <c r="B30" s="452" t="s">
        <v>512</v>
      </c>
      <c r="C30" s="596">
        <v>8430538.2199999988</v>
      </c>
      <c r="D30" s="590">
        <f>C30</f>
        <v>8430538.2199999988</v>
      </c>
      <c r="E30" s="604">
        <f t="shared" si="9"/>
        <v>0</v>
      </c>
    </row>
    <row r="31" spans="1:5" ht="14.4">
      <c r="A31" s="543">
        <v>11</v>
      </c>
      <c r="B31" s="453" t="s">
        <v>513</v>
      </c>
      <c r="C31" s="590">
        <v>2791477.1500000004</v>
      </c>
      <c r="D31" s="590">
        <f t="shared" ref="D31:E31" si="10">SUM(D32:D33)</f>
        <v>0</v>
      </c>
      <c r="E31" s="603">
        <f t="shared" si="10"/>
        <v>2791477.1500000004</v>
      </c>
    </row>
    <row r="32" spans="1:5" ht="14.4">
      <c r="A32" s="543">
        <v>11.1</v>
      </c>
      <c r="B32" s="452" t="s">
        <v>514</v>
      </c>
      <c r="C32" s="596">
        <v>2377531.5300000003</v>
      </c>
      <c r="D32" s="590"/>
      <c r="E32" s="604">
        <f t="shared" ref="E32:E36" si="11">C32-D32</f>
        <v>2377531.5300000003</v>
      </c>
    </row>
    <row r="33" spans="1:7" ht="14.4">
      <c r="A33" s="543">
        <v>11.2</v>
      </c>
      <c r="B33" s="452" t="s">
        <v>515</v>
      </c>
      <c r="C33" s="596">
        <v>413945.62</v>
      </c>
      <c r="D33" s="590"/>
      <c r="E33" s="604">
        <f t="shared" si="11"/>
        <v>413945.62</v>
      </c>
    </row>
    <row r="34" spans="1:7" ht="14.4">
      <c r="A34" s="543">
        <v>13</v>
      </c>
      <c r="B34" s="453" t="s">
        <v>516</v>
      </c>
      <c r="C34" s="596">
        <v>11222314.086000003</v>
      </c>
      <c r="D34" s="590"/>
      <c r="E34" s="604">
        <f t="shared" si="11"/>
        <v>11222314.086000003</v>
      </c>
    </row>
    <row r="35" spans="1:7" ht="14.4">
      <c r="A35" s="543">
        <v>13.1</v>
      </c>
      <c r="B35" s="484" t="s">
        <v>517</v>
      </c>
      <c r="C35" s="596">
        <v>3168298.3799999994</v>
      </c>
      <c r="D35" s="590"/>
      <c r="E35" s="604">
        <f t="shared" si="11"/>
        <v>3168298.3799999994</v>
      </c>
    </row>
    <row r="36" spans="1:7" ht="14.4">
      <c r="A36" s="543">
        <v>13.2</v>
      </c>
      <c r="B36" s="484" t="s">
        <v>518</v>
      </c>
      <c r="C36" s="596">
        <v>0</v>
      </c>
      <c r="D36" s="590"/>
      <c r="E36" s="604">
        <f t="shared" si="11"/>
        <v>0</v>
      </c>
    </row>
    <row r="37" spans="1:7" ht="26.4">
      <c r="A37" s="544"/>
      <c r="B37" s="545" t="s">
        <v>197</v>
      </c>
      <c r="C37" s="546">
        <f>SUM(C8,C12,C14,C15,C16,C20,C23,C24,C25,C28,C31,C34)</f>
        <v>678727933.18022501</v>
      </c>
      <c r="D37" s="546">
        <f t="shared" ref="D37" si="12">SUM(D8,D12,D14,D15,D16,D20,D23,D24,D25,D28,D31,D34)</f>
        <v>8980329.2199999988</v>
      </c>
      <c r="E37" s="546">
        <f>SUM(E8,E12,E14,E15,E16,E20,E23,E24,E25,E28,E31,E34)</f>
        <v>669747603.96022499</v>
      </c>
    </row>
    <row r="38" spans="1:7">
      <c r="A38" s="10"/>
      <c r="B38" s="10"/>
      <c r="C38" s="10"/>
      <c r="D38" s="10"/>
      <c r="E38" s="10"/>
    </row>
    <row r="39" spans="1:7">
      <c r="A39" s="10"/>
      <c r="B39" s="10"/>
      <c r="C39" s="10"/>
      <c r="D39" s="10"/>
      <c r="E39" s="10"/>
    </row>
    <row r="41" spans="1:7" s="9" customFormat="1">
      <c r="B41" s="43"/>
      <c r="F41" s="10"/>
      <c r="G41" s="10"/>
    </row>
    <row r="42" spans="1:7" s="9" customFormat="1">
      <c r="B42" s="43"/>
      <c r="F42" s="10"/>
      <c r="G42" s="10"/>
    </row>
    <row r="43" spans="1:7" s="9" customFormat="1">
      <c r="B43" s="43"/>
      <c r="F43" s="10"/>
      <c r="G43" s="10"/>
    </row>
    <row r="44" spans="1:7" s="9" customFormat="1">
      <c r="B44" s="43"/>
      <c r="F44" s="10"/>
      <c r="G44" s="10"/>
    </row>
    <row r="45" spans="1:7" s="9" customFormat="1">
      <c r="B45" s="43"/>
      <c r="F45" s="10"/>
      <c r="G45" s="10"/>
    </row>
    <row r="46" spans="1:7" s="9" customFormat="1">
      <c r="B46" s="43"/>
      <c r="F46" s="10"/>
      <c r="G46" s="10"/>
    </row>
    <row r="47" spans="1:7" s="9" customFormat="1">
      <c r="B47" s="43"/>
      <c r="F47" s="10"/>
      <c r="G47" s="10"/>
    </row>
    <row r="48" spans="1:7" s="9" customFormat="1">
      <c r="B48" s="43"/>
      <c r="F48" s="10"/>
      <c r="G48" s="10"/>
    </row>
    <row r="49" spans="2:7" s="9" customFormat="1">
      <c r="B49" s="43"/>
      <c r="F49" s="10"/>
      <c r="G49" s="10"/>
    </row>
    <row r="50" spans="2:7" s="9" customFormat="1">
      <c r="B50" s="43"/>
      <c r="F50" s="10"/>
      <c r="G50" s="10"/>
    </row>
    <row r="51" spans="2:7" s="9" customFormat="1">
      <c r="B51" s="43"/>
      <c r="F51" s="10"/>
      <c r="G51" s="10"/>
    </row>
    <row r="52" spans="2:7" s="9" customFormat="1">
      <c r="B52" s="43"/>
      <c r="F52" s="10"/>
      <c r="G52" s="10"/>
    </row>
    <row r="53" spans="2:7" s="9" customFormat="1">
      <c r="B53" s="43"/>
      <c r="F53" s="10"/>
      <c r="G53" s="10"/>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3"/>
  <sheetViews>
    <sheetView zoomScale="70" zoomScaleNormal="70" workbookViewId="0">
      <pane xSplit="1" ySplit="4" topLeftCell="B5" activePane="bottomRight" state="frozen"/>
      <selection activeCell="B42" sqref="B42"/>
      <selection pane="topRight" activeCell="B42" sqref="B42"/>
      <selection pane="bottomLeft" activeCell="B42" sqref="B42"/>
      <selection pane="bottomRight" activeCell="C5" sqref="C5:C13"/>
    </sheetView>
  </sheetViews>
  <sheetFormatPr defaultColWidth="9.21875" defaultRowHeight="13.2" outlineLevelRow="1"/>
  <cols>
    <col min="1" max="1" width="13.5546875" style="9" bestFit="1" customWidth="1"/>
    <col min="2" max="2" width="114.21875" style="9" customWidth="1"/>
    <col min="3" max="3" width="18.77734375" style="9" customWidth="1"/>
    <col min="4" max="16384" width="9.21875" style="9"/>
  </cols>
  <sheetData>
    <row r="1" spans="1:3">
      <c r="A1" s="504" t="s">
        <v>680</v>
      </c>
      <c r="B1" s="496" t="str">
        <f>'Info '!C2</f>
        <v>Crystal</v>
      </c>
    </row>
    <row r="2" spans="1:3" s="7" customFormat="1" ht="15.75" customHeight="1">
      <c r="A2" s="66" t="s">
        <v>31</v>
      </c>
      <c r="B2" s="497">
        <f>'1. key ratios '!B2</f>
        <v>46112</v>
      </c>
      <c r="C2" s="9"/>
    </row>
    <row r="3" spans="1:3" s="7" customFormat="1" ht="15.75" customHeight="1">
      <c r="C3" s="9"/>
    </row>
    <row r="4" spans="1:3" s="7" customFormat="1" ht="13.8" thickBot="1">
      <c r="A4" s="7" t="s">
        <v>45</v>
      </c>
      <c r="B4" s="141" t="s">
        <v>485</v>
      </c>
      <c r="C4" s="38" t="s">
        <v>35</v>
      </c>
    </row>
    <row r="5" spans="1:3" ht="13.8">
      <c r="A5" s="106">
        <v>1</v>
      </c>
      <c r="B5" s="142" t="s">
        <v>487</v>
      </c>
      <c r="C5" s="669">
        <v>669747603.96022499</v>
      </c>
    </row>
    <row r="6" spans="1:3" ht="13.8">
      <c r="A6" s="44">
        <v>2.1</v>
      </c>
      <c r="B6" s="88" t="s">
        <v>180</v>
      </c>
      <c r="C6" s="600">
        <v>2432766.9082999914</v>
      </c>
    </row>
    <row r="7" spans="1:3" s="34" customFormat="1" ht="13.8" outlineLevel="1">
      <c r="A7" s="28">
        <v>2.2000000000000002</v>
      </c>
      <c r="B7" s="29" t="s">
        <v>181</v>
      </c>
      <c r="C7" s="601">
        <v>267221388.00000003</v>
      </c>
    </row>
    <row r="8" spans="1:3" s="34" customFormat="1" ht="13.8">
      <c r="A8" s="28">
        <v>3</v>
      </c>
      <c r="B8" s="104" t="s">
        <v>486</v>
      </c>
      <c r="C8" s="602">
        <v>939401758.86852503</v>
      </c>
    </row>
    <row r="9" spans="1:3" ht="13.8">
      <c r="A9" s="44">
        <v>4</v>
      </c>
      <c r="B9" s="45" t="s">
        <v>47</v>
      </c>
      <c r="C9" s="603">
        <v>0</v>
      </c>
    </row>
    <row r="10" spans="1:3" s="34" customFormat="1" ht="13.8" outlineLevel="1">
      <c r="A10" s="28">
        <v>5.0999999999999996</v>
      </c>
      <c r="B10" s="29" t="s">
        <v>182</v>
      </c>
      <c r="C10" s="601">
        <v>-1844633.5485099931</v>
      </c>
    </row>
    <row r="11" spans="1:3" s="34" customFormat="1" ht="13.8" outlineLevel="1">
      <c r="A11" s="28">
        <v>5.2</v>
      </c>
      <c r="B11" s="29" t="s">
        <v>183</v>
      </c>
      <c r="C11" s="604">
        <v>-263976465.04140589</v>
      </c>
    </row>
    <row r="12" spans="1:3" s="34" customFormat="1" ht="13.8">
      <c r="A12" s="28">
        <v>6</v>
      </c>
      <c r="B12" s="103" t="s">
        <v>668</v>
      </c>
      <c r="C12" s="603">
        <v>0</v>
      </c>
    </row>
    <row r="13" spans="1:3" s="34" customFormat="1" ht="14.4" thickBot="1">
      <c r="A13" s="30">
        <v>7</v>
      </c>
      <c r="B13" s="105" t="s">
        <v>147</v>
      </c>
      <c r="C13" s="605">
        <v>673580660.27860916</v>
      </c>
    </row>
    <row r="15" spans="1:3">
      <c r="B15" s="34"/>
    </row>
    <row r="17" spans="1:2" ht="13.8">
      <c r="A17" s="111"/>
      <c r="B17" s="112"/>
    </row>
    <row r="18" spans="1:2" ht="14.4">
      <c r="A18" s="116"/>
      <c r="B18" s="117"/>
    </row>
    <row r="19" spans="1:2" ht="13.8">
      <c r="A19" s="118"/>
      <c r="B19" s="113"/>
    </row>
    <row r="20" spans="1:2" ht="13.8">
      <c r="A20" s="119"/>
      <c r="B20" s="114"/>
    </row>
    <row r="21" spans="1:2" ht="13.8">
      <c r="A21" s="119"/>
      <c r="B21" s="117"/>
    </row>
    <row r="22" spans="1:2" ht="13.8">
      <c r="A22" s="118"/>
      <c r="B22" s="115"/>
    </row>
    <row r="23" spans="1:2" ht="13.8">
      <c r="A23" s="119"/>
      <c r="B23" s="114"/>
    </row>
    <row r="24" spans="1:2" ht="13.8">
      <c r="A24" s="119"/>
      <c r="B24" s="114"/>
    </row>
    <row r="25" spans="1:2" ht="13.8">
      <c r="A25" s="119"/>
      <c r="B25" s="120"/>
    </row>
    <row r="26" spans="1:2" ht="13.8">
      <c r="A26" s="119"/>
      <c r="B26" s="117"/>
    </row>
    <row r="27" spans="1:2">
      <c r="B27" s="43"/>
    </row>
    <row r="28" spans="1:2">
      <c r="B28" s="43"/>
    </row>
    <row r="29" spans="1:2">
      <c r="B29" s="43"/>
    </row>
    <row r="30" spans="1:2">
      <c r="B30" s="43"/>
    </row>
    <row r="31" spans="1:2">
      <c r="B31" s="43"/>
    </row>
    <row r="32" spans="1:2">
      <c r="B32" s="43"/>
    </row>
    <row r="33" spans="2:2">
      <c r="B33" s="4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DA0FCFA8-564B-402B-B667-D863574AE31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2026-05-27T17:36:09Z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